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gonzalez\Documents\PPTO\2014\1 Anexos\"/>
    </mc:Choice>
  </mc:AlternateContent>
  <bookViews>
    <workbookView xWindow="-15" yWindow="-15" windowWidth="19170" windowHeight="6360" firstSheet="1" activeTab="1"/>
  </bookViews>
  <sheets>
    <sheet name="inversion" sheetId="5" state="hidden" r:id="rId1"/>
    <sheet name="ejes" sheetId="6" r:id="rId2"/>
    <sheet name="plan des" sheetId="7" r:id="rId3"/>
    <sheet name="anexo1" sheetId="8" r:id="rId4"/>
    <sheet name="anexo2" sheetId="1" r:id="rId5"/>
    <sheet name="tips" sheetId="2" r:id="rId6"/>
    <sheet name="Hoja3" sheetId="3" r:id="rId7"/>
    <sheet name="normas" sheetId="4" r:id="rId8"/>
    <sheet name="Hoja1"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Titles" localSheetId="3">anexo1!$1:$6</definedName>
    <definedName name="_xlnm.Print_Titles" localSheetId="1">ejes!$A:$A,ejes!$1:$4</definedName>
    <definedName name="_xlnm.Print_Titles" localSheetId="0">inversion!$A:$A,inversion!$1:$4</definedName>
  </definedNames>
  <calcPr calcId="152511"/>
</workbook>
</file>

<file path=xl/calcChain.xml><?xml version="1.0" encoding="utf-8"?>
<calcChain xmlns="http://schemas.openxmlformats.org/spreadsheetml/2006/main">
  <c r="AG89" i="6" l="1"/>
  <c r="AC89" i="6"/>
  <c r="AA89" i="6"/>
  <c r="AG88" i="6"/>
  <c r="AC88" i="6"/>
  <c r="AA88" i="6"/>
  <c r="T84" i="6"/>
  <c r="T83" i="6"/>
  <c r="T82" i="6"/>
  <c r="T81" i="6"/>
  <c r="T80" i="6"/>
  <c r="T79" i="6"/>
  <c r="T78" i="6"/>
  <c r="T77" i="6"/>
  <c r="T76" i="6"/>
  <c r="T75" i="6"/>
  <c r="T74" i="6"/>
  <c r="T73" i="6"/>
  <c r="T72" i="6"/>
  <c r="T71" i="6"/>
  <c r="T70" i="6"/>
  <c r="T69" i="6"/>
  <c r="T68" i="6"/>
  <c r="T67" i="6"/>
  <c r="T66" i="6"/>
  <c r="T65" i="6"/>
  <c r="T64" i="6"/>
  <c r="T63" i="6"/>
  <c r="X84" i="6"/>
  <c r="X83" i="6"/>
  <c r="X82" i="6"/>
  <c r="X81" i="6"/>
  <c r="X80" i="6"/>
  <c r="X79" i="6"/>
  <c r="X78" i="6"/>
  <c r="X77" i="6"/>
  <c r="X76" i="6"/>
  <c r="X75" i="6"/>
  <c r="X74" i="6"/>
  <c r="X73" i="6"/>
  <c r="X72" i="6"/>
  <c r="X71" i="6"/>
  <c r="X70" i="6"/>
  <c r="X69" i="6"/>
  <c r="X68" i="6"/>
  <c r="X67" i="6"/>
  <c r="X66" i="6"/>
  <c r="X65" i="6"/>
  <c r="X64" i="6"/>
  <c r="X63" i="6"/>
  <c r="D84" i="6"/>
  <c r="D83" i="6"/>
  <c r="D82" i="6"/>
  <c r="D81" i="6"/>
  <c r="D80" i="6"/>
  <c r="D79" i="6"/>
  <c r="D78" i="6"/>
  <c r="D77" i="6"/>
  <c r="D76" i="6"/>
  <c r="D75" i="6"/>
  <c r="D74" i="6"/>
  <c r="D73" i="6"/>
  <c r="D72" i="6"/>
  <c r="D71" i="6"/>
  <c r="D70" i="6"/>
  <c r="D69" i="6"/>
  <c r="D68" i="6"/>
  <c r="D67" i="6"/>
  <c r="D66" i="6"/>
  <c r="D65" i="6"/>
  <c r="D64" i="6"/>
  <c r="D63" i="6"/>
  <c r="H84" i="6"/>
  <c r="H83" i="6"/>
  <c r="H82" i="6"/>
  <c r="H81" i="6"/>
  <c r="H80" i="6"/>
  <c r="H79" i="6"/>
  <c r="H78" i="6"/>
  <c r="H77" i="6"/>
  <c r="H76" i="6"/>
  <c r="H75" i="6"/>
  <c r="H74" i="6"/>
  <c r="H73" i="6"/>
  <c r="H72" i="6"/>
  <c r="H71" i="6"/>
  <c r="H70" i="6"/>
  <c r="H69" i="6"/>
  <c r="H68" i="6"/>
  <c r="H67" i="6"/>
  <c r="H66" i="6"/>
  <c r="H65" i="6"/>
  <c r="H64" i="6"/>
  <c r="H63" i="6"/>
  <c r="X7" i="6" l="1"/>
  <c r="T7" i="6"/>
  <c r="R37" i="6" l="1"/>
  <c r="R11" i="6"/>
  <c r="B19" i="2" l="1"/>
  <c r="B9" i="2"/>
  <c r="D20" i="2" l="1"/>
  <c r="B20" i="2"/>
  <c r="D10" i="2"/>
  <c r="B10" i="2"/>
  <c r="G68" i="1"/>
  <c r="C64" i="1"/>
  <c r="C59" i="1"/>
  <c r="C58" i="1"/>
  <c r="C56" i="1"/>
  <c r="C50" i="1"/>
  <c r="C43" i="1"/>
  <c r="C40" i="1"/>
  <c r="C35" i="1"/>
  <c r="C34" i="1"/>
  <c r="C31" i="1"/>
  <c r="C30" i="1"/>
  <c r="C29" i="1"/>
  <c r="C28" i="1"/>
  <c r="E71" i="8"/>
  <c r="E70" i="8"/>
  <c r="C71" i="8"/>
  <c r="C70" i="8"/>
  <c r="B71" i="8"/>
  <c r="B70" i="8"/>
  <c r="E69" i="8"/>
  <c r="C69" i="8"/>
  <c r="B69" i="8"/>
  <c r="E64" i="1" l="1"/>
  <c r="E58" i="1"/>
  <c r="E56" i="1"/>
  <c r="E51" i="1"/>
  <c r="F51" i="1" s="1"/>
  <c r="E43" i="1"/>
  <c r="E40" i="1"/>
  <c r="E29" i="1"/>
  <c r="E16" i="1"/>
  <c r="E81" i="8"/>
  <c r="E80" i="8"/>
  <c r="E79" i="8"/>
  <c r="C81" i="8"/>
  <c r="C80" i="8"/>
  <c r="C79" i="8"/>
  <c r="B81" i="8"/>
  <c r="B80" i="8"/>
  <c r="B79" i="8"/>
  <c r="E10" i="8"/>
  <c r="D29" i="1" s="1"/>
  <c r="B10" i="8"/>
  <c r="H64" i="8" l="1"/>
  <c r="H62" i="8"/>
  <c r="H61" i="8"/>
  <c r="H57" i="8"/>
  <c r="H54" i="8"/>
  <c r="H53" i="8"/>
  <c r="H50" i="8"/>
  <c r="H45" i="8"/>
  <c r="H43" i="8" s="1"/>
  <c r="H42" i="8"/>
  <c r="H41" i="8"/>
  <c r="F64" i="8"/>
  <c r="F62" i="8"/>
  <c r="F61" i="8"/>
  <c r="F57" i="8"/>
  <c r="F54" i="8"/>
  <c r="F53" i="8"/>
  <c r="F50" i="8"/>
  <c r="F45" i="8"/>
  <c r="F43" i="8" s="1"/>
  <c r="F42" i="8"/>
  <c r="F41" i="8"/>
  <c r="C64" i="8"/>
  <c r="C62" i="8"/>
  <c r="C61" i="8"/>
  <c r="C57" i="8"/>
  <c r="C54" i="8"/>
  <c r="C53" i="8"/>
  <c r="C50" i="8"/>
  <c r="C45" i="8"/>
  <c r="C43" i="8" s="1"/>
  <c r="C42" i="8"/>
  <c r="C41" i="8"/>
  <c r="B64" i="8"/>
  <c r="B62" i="8"/>
  <c r="B61" i="8"/>
  <c r="B57" i="8"/>
  <c r="B54" i="8"/>
  <c r="B53" i="8"/>
  <c r="B50" i="8"/>
  <c r="B45" i="8"/>
  <c r="B42" i="8"/>
  <c r="B41" i="8"/>
  <c r="B123" i="1"/>
  <c r="B119" i="1"/>
  <c r="B116" i="1"/>
  <c r="B111" i="1"/>
  <c r="B101" i="1"/>
  <c r="B100" i="1"/>
  <c r="B87" i="1"/>
  <c r="B86" i="1"/>
  <c r="B81" i="1"/>
  <c r="B82" i="1"/>
  <c r="B80" i="1"/>
  <c r="H60" i="8" l="1"/>
  <c r="H52" i="8"/>
  <c r="F60" i="8"/>
  <c r="F52" i="8"/>
  <c r="C60" i="8"/>
  <c r="C52" i="8"/>
  <c r="C87" i="1" l="1"/>
  <c r="C123" i="1"/>
  <c r="C119" i="1"/>
  <c r="C116" i="1"/>
  <c r="C102" i="1"/>
  <c r="C90" i="1"/>
  <c r="C86" i="1"/>
  <c r="C81" i="1"/>
  <c r="C82" i="1"/>
  <c r="C80" i="1"/>
  <c r="F75" i="8"/>
  <c r="F74" i="8"/>
  <c r="F73" i="8"/>
  <c r="H75" i="8"/>
  <c r="H74" i="8"/>
  <c r="H73" i="8"/>
  <c r="C75" i="8"/>
  <c r="C74" i="8"/>
  <c r="C73" i="8"/>
  <c r="B75" i="8"/>
  <c r="B74" i="8"/>
  <c r="B73" i="8"/>
  <c r="B19" i="1" l="1"/>
  <c r="B52" i="1"/>
  <c r="B64" i="1"/>
  <c r="B59" i="1"/>
  <c r="B58" i="1"/>
  <c r="B57" i="1"/>
  <c r="B56" i="1"/>
  <c r="B54" i="1"/>
  <c r="B50" i="1"/>
  <c r="B48" i="1"/>
  <c r="B43" i="1"/>
  <c r="B40" i="1"/>
  <c r="B39" i="1"/>
  <c r="B38" i="1"/>
  <c r="B37" i="1"/>
  <c r="B36" i="1"/>
  <c r="B31" i="1"/>
  <c r="B30" i="1"/>
  <c r="B28" i="1"/>
  <c r="B27" i="1"/>
  <c r="B23" i="1"/>
  <c r="B22" i="1"/>
  <c r="B21" i="1"/>
  <c r="B20" i="1"/>
  <c r="B17" i="1"/>
  <c r="B15" i="1"/>
  <c r="B14" i="1"/>
  <c r="B13" i="1"/>
  <c r="B12" i="1"/>
  <c r="B11" i="1"/>
  <c r="B10" i="1"/>
  <c r="B9" i="1"/>
  <c r="B8" i="1"/>
  <c r="C35" i="8"/>
  <c r="C34" i="8"/>
  <c r="C33" i="8"/>
  <c r="C32" i="8"/>
  <c r="C31" i="8"/>
  <c r="C30" i="8"/>
  <c r="C29" i="8"/>
  <c r="C28" i="8"/>
  <c r="C26" i="8"/>
  <c r="C24" i="8"/>
  <c r="C22" i="8"/>
  <c r="C21" i="8"/>
  <c r="B35" i="8"/>
  <c r="B34" i="8"/>
  <c r="B33" i="8"/>
  <c r="B32" i="8"/>
  <c r="B31" i="8"/>
  <c r="B30" i="8"/>
  <c r="B29" i="8"/>
  <c r="B28" i="8"/>
  <c r="B26" i="8"/>
  <c r="B24" i="8"/>
  <c r="B22" i="8"/>
  <c r="B21" i="8"/>
  <c r="E35" i="8"/>
  <c r="E34" i="8"/>
  <c r="E33" i="8"/>
  <c r="E32" i="8"/>
  <c r="E31" i="8"/>
  <c r="E30" i="8"/>
  <c r="E29" i="8"/>
  <c r="E28" i="8"/>
  <c r="E26" i="8"/>
  <c r="E24" i="8"/>
  <c r="E23" i="8"/>
  <c r="E22" i="8"/>
  <c r="E21" i="8"/>
  <c r="E20" i="8" s="1"/>
  <c r="E27" i="8" l="1"/>
  <c r="C27" i="8"/>
  <c r="C23" i="8"/>
  <c r="E19" i="8"/>
  <c r="E119" i="1" l="1"/>
  <c r="E116" i="1"/>
  <c r="E86" i="1"/>
  <c r="E82" i="1"/>
  <c r="E81" i="1"/>
  <c r="E80" i="1"/>
  <c r="H85" i="8"/>
  <c r="H83" i="8"/>
  <c r="F85" i="8"/>
  <c r="F83" i="8"/>
  <c r="C85" i="8"/>
  <c r="C83" i="8"/>
  <c r="B85" i="8"/>
  <c r="B83" i="8"/>
  <c r="D116" i="1"/>
  <c r="D82" i="1"/>
  <c r="D81" i="1"/>
  <c r="D80" i="1"/>
  <c r="H16" i="8"/>
  <c r="H14" i="8"/>
  <c r="F16" i="8"/>
  <c r="F14" i="8"/>
  <c r="C16" i="8"/>
  <c r="C14" i="8"/>
  <c r="B16" i="8"/>
  <c r="B14" i="8"/>
  <c r="G124" i="1" l="1"/>
  <c r="G122" i="1"/>
  <c r="G119" i="1"/>
  <c r="G116" i="1"/>
  <c r="G105" i="1"/>
  <c r="G106" i="1"/>
  <c r="G102" i="1"/>
  <c r="G100" i="1"/>
  <c r="G98" i="1"/>
  <c r="G97" i="1"/>
  <c r="G96" i="1"/>
  <c r="G94" i="1"/>
  <c r="G93" i="1"/>
  <c r="G88" i="1"/>
  <c r="G86" i="1"/>
  <c r="G85" i="1"/>
  <c r="G82" i="1"/>
  <c r="G81" i="1"/>
  <c r="G80" i="1"/>
  <c r="G66" i="1"/>
  <c r="G64" i="1"/>
  <c r="G62" i="1"/>
  <c r="G61" i="1"/>
  <c r="G56" i="1"/>
  <c r="G54" i="1"/>
  <c r="G47" i="1"/>
  <c r="G46" i="1"/>
  <c r="G45" i="1"/>
  <c r="G43" i="1"/>
  <c r="G29" i="1"/>
  <c r="G26" i="1"/>
  <c r="C107" i="8"/>
  <c r="B107" i="8"/>
  <c r="E100" i="8"/>
  <c r="C100" i="8"/>
  <c r="B100" i="8"/>
  <c r="E99" i="8"/>
  <c r="C99" i="8"/>
  <c r="B99" i="8"/>
  <c r="E98" i="8"/>
  <c r="C98" i="8"/>
  <c r="B98" i="8"/>
  <c r="C101" i="8" l="1"/>
  <c r="E101" i="8" l="1"/>
  <c r="H105" i="8" l="1"/>
  <c r="F105" i="8"/>
  <c r="B105" i="8"/>
  <c r="C105" i="8" l="1"/>
  <c r="F104" i="8"/>
  <c r="F103" i="8"/>
  <c r="B104" i="8"/>
  <c r="H103" i="8" l="1"/>
  <c r="B103" i="8"/>
  <c r="B101" i="8"/>
  <c r="H106" i="8"/>
  <c r="B106" i="8" l="1"/>
  <c r="F106" i="8"/>
  <c r="C103" i="8" l="1"/>
  <c r="C104" i="8"/>
  <c r="H104" i="8" l="1"/>
  <c r="C106" i="8"/>
  <c r="G107" i="8" l="1"/>
  <c r="G106" i="8"/>
  <c r="G105" i="8"/>
  <c r="G104" i="8"/>
  <c r="G103" i="8"/>
  <c r="G64" i="8"/>
  <c r="G63" i="8"/>
  <c r="G62" i="8"/>
  <c r="G61" i="8"/>
  <c r="G57" i="8"/>
  <c r="G56" i="8"/>
  <c r="G55" i="8"/>
  <c r="G54" i="8"/>
  <c r="G53" i="8"/>
  <c r="G50" i="8"/>
  <c r="G49" i="8"/>
  <c r="G48" i="8"/>
  <c r="G47" i="8"/>
  <c r="G46" i="8"/>
  <c r="G45" i="8"/>
  <c r="G42" i="8"/>
  <c r="G41" i="8"/>
  <c r="G16" i="8"/>
  <c r="G15" i="8"/>
  <c r="G14" i="8"/>
  <c r="G85" i="8"/>
  <c r="G84" i="8"/>
  <c r="G83" i="8"/>
  <c r="Z49" i="6"/>
  <c r="T49" i="6"/>
  <c r="X49" i="6"/>
  <c r="R49" i="6"/>
  <c r="L49" i="6"/>
  <c r="P49" i="6"/>
  <c r="J49" i="6"/>
  <c r="D49" i="6"/>
  <c r="H49" i="6"/>
  <c r="B49" i="6"/>
  <c r="Z48" i="6"/>
  <c r="T48" i="6"/>
  <c r="X48" i="6"/>
  <c r="R48" i="6"/>
  <c r="D48" i="6"/>
  <c r="H48" i="6"/>
  <c r="B48" i="6"/>
  <c r="Z47" i="6"/>
  <c r="T47" i="6"/>
  <c r="X47" i="6"/>
  <c r="R47" i="6"/>
  <c r="L47" i="6"/>
  <c r="P47" i="6"/>
  <c r="J47" i="6"/>
  <c r="Z46" i="6"/>
  <c r="T46" i="6"/>
  <c r="X46" i="6"/>
  <c r="R46" i="6"/>
  <c r="Z45" i="6"/>
  <c r="T45" i="6"/>
  <c r="X45" i="6"/>
  <c r="R45" i="6"/>
  <c r="Z44" i="6"/>
  <c r="T44" i="6"/>
  <c r="X44" i="6"/>
  <c r="R44" i="6"/>
  <c r="D44" i="6"/>
  <c r="H44" i="6"/>
  <c r="B44" i="6"/>
  <c r="Z43" i="6"/>
  <c r="T43" i="6"/>
  <c r="X43" i="6"/>
  <c r="R43" i="6"/>
  <c r="L43" i="6"/>
  <c r="P43" i="6"/>
  <c r="J43" i="6"/>
  <c r="Z42" i="6"/>
  <c r="T42" i="6"/>
  <c r="X42" i="6"/>
  <c r="R42" i="6"/>
  <c r="Z41" i="6"/>
  <c r="T41" i="6"/>
  <c r="X41" i="6"/>
  <c r="R41" i="6"/>
  <c r="D41" i="6"/>
  <c r="H41" i="6"/>
  <c r="B41" i="6"/>
  <c r="Z40" i="6"/>
  <c r="T40" i="6"/>
  <c r="X40" i="6"/>
  <c r="R40" i="6"/>
  <c r="D40" i="6"/>
  <c r="H40" i="6"/>
  <c r="B40" i="6"/>
  <c r="Z39" i="6"/>
  <c r="D39" i="6"/>
  <c r="H39" i="6"/>
  <c r="B39" i="6"/>
  <c r="Z38" i="6"/>
  <c r="T38" i="6"/>
  <c r="X38" i="6"/>
  <c r="R38" i="6"/>
  <c r="D38" i="6"/>
  <c r="H38" i="6"/>
  <c r="B38" i="6"/>
  <c r="Z37" i="6"/>
  <c r="T37" i="6"/>
  <c r="X37" i="6"/>
  <c r="D37" i="6"/>
  <c r="H37" i="6"/>
  <c r="B37" i="6"/>
  <c r="Z36" i="6"/>
  <c r="T36" i="6"/>
  <c r="X36" i="6"/>
  <c r="R36" i="6"/>
  <c r="L36" i="6"/>
  <c r="P36" i="6"/>
  <c r="J36" i="6"/>
  <c r="H36" i="6"/>
  <c r="D36" i="6"/>
  <c r="B36" i="6"/>
  <c r="Z35" i="6"/>
  <c r="T35" i="6"/>
  <c r="X35" i="6"/>
  <c r="R35" i="6"/>
  <c r="L35" i="6"/>
  <c r="P35" i="6"/>
  <c r="J35" i="6"/>
  <c r="D35" i="6"/>
  <c r="H35" i="6"/>
  <c r="B35" i="6"/>
  <c r="Z34" i="6"/>
  <c r="T34" i="6"/>
  <c r="X34" i="6"/>
  <c r="R34" i="6"/>
  <c r="Z33" i="6"/>
  <c r="T33" i="6"/>
  <c r="X33" i="6"/>
  <c r="R33" i="6"/>
  <c r="P33" i="6"/>
  <c r="L33" i="6"/>
  <c r="J33" i="6"/>
  <c r="Z32" i="6"/>
  <c r="T32" i="6"/>
  <c r="X32" i="6"/>
  <c r="R32" i="6"/>
  <c r="L32" i="6"/>
  <c r="P32" i="6"/>
  <c r="J32" i="6"/>
  <c r="X31" i="6"/>
  <c r="T31" i="6"/>
  <c r="P31" i="6"/>
  <c r="L31" i="6"/>
  <c r="R31" i="6"/>
  <c r="J31" i="6"/>
  <c r="H31" i="6"/>
  <c r="D31" i="6"/>
  <c r="B31" i="6"/>
  <c r="Z31" i="6"/>
  <c r="Z30" i="6"/>
  <c r="X30" i="6"/>
  <c r="T30" i="6"/>
  <c r="R30" i="6"/>
  <c r="H30" i="6"/>
  <c r="D30" i="6"/>
  <c r="B30" i="6"/>
  <c r="Z51" i="6"/>
  <c r="X51" i="6"/>
  <c r="Z52" i="6"/>
  <c r="X52" i="6"/>
  <c r="T52" i="6"/>
  <c r="R52" i="6"/>
  <c r="H52" i="6"/>
  <c r="D52" i="6"/>
  <c r="B52" i="6"/>
  <c r="T51" i="6"/>
  <c r="R51" i="6"/>
  <c r="G73" i="8" l="1"/>
  <c r="G75" i="8"/>
  <c r="G74" i="8"/>
  <c r="H64" i="1" l="1"/>
  <c r="H56" i="1"/>
  <c r="H50" i="1"/>
  <c r="H40" i="1"/>
  <c r="H29" i="1"/>
  <c r="H66" i="1"/>
  <c r="H124" i="1"/>
  <c r="H116" i="1"/>
  <c r="H98" i="1"/>
  <c r="H96" i="1"/>
  <c r="H95" i="1"/>
  <c r="H94" i="1"/>
  <c r="H93" i="1"/>
  <c r="H92" i="1"/>
  <c r="E53" i="1"/>
  <c r="D53" i="1"/>
  <c r="C53" i="1"/>
  <c r="H81" i="1" l="1"/>
  <c r="H88" i="1"/>
  <c r="H82" i="1"/>
  <c r="H80" i="1"/>
  <c r="H119" i="8"/>
  <c r="H118" i="8"/>
  <c r="H116" i="8"/>
  <c r="J16" i="3" s="1"/>
  <c r="H115" i="8"/>
  <c r="F119" i="8"/>
  <c r="F118" i="8"/>
  <c r="F116" i="8"/>
  <c r="F115" i="8"/>
  <c r="C119" i="8"/>
  <c r="C118" i="8"/>
  <c r="C116" i="8"/>
  <c r="C128" i="8" s="1"/>
  <c r="C115" i="8"/>
  <c r="B119" i="8"/>
  <c r="B118" i="8"/>
  <c r="B116" i="8"/>
  <c r="B115" i="8"/>
  <c r="E113" i="8"/>
  <c r="E111" i="8"/>
  <c r="E110" i="8"/>
  <c r="E109" i="8" s="1"/>
  <c r="C113" i="8"/>
  <c r="C109" i="8" s="1"/>
  <c r="C111" i="8"/>
  <c r="C110" i="8"/>
  <c r="B113" i="8"/>
  <c r="B111" i="8"/>
  <c r="B110" i="8"/>
  <c r="G117" i="8"/>
  <c r="Z84" i="6"/>
  <c r="Z83" i="6"/>
  <c r="Z82" i="6"/>
  <c r="Z81" i="6"/>
  <c r="Z80" i="6"/>
  <c r="Z79" i="6"/>
  <c r="Z78" i="6"/>
  <c r="Z77" i="6"/>
  <c r="Z76" i="6"/>
  <c r="Z75" i="6"/>
  <c r="Z74" i="6"/>
  <c r="Z73" i="6"/>
  <c r="Z72" i="6"/>
  <c r="Z71" i="6"/>
  <c r="Z70" i="6"/>
  <c r="Z69" i="6"/>
  <c r="Z68" i="6"/>
  <c r="Z67" i="6"/>
  <c r="Z66" i="6"/>
  <c r="Z65" i="6"/>
  <c r="Z64" i="6"/>
  <c r="Z63" i="6"/>
  <c r="V83" i="6"/>
  <c r="Y82" i="6"/>
  <c r="V75" i="6"/>
  <c r="V74" i="6"/>
  <c r="W74" i="6" s="1"/>
  <c r="V66" i="6"/>
  <c r="W66" i="6" s="1"/>
  <c r="F80" i="6"/>
  <c r="G80" i="6" s="1"/>
  <c r="F79" i="6"/>
  <c r="I72" i="6"/>
  <c r="F64" i="6"/>
  <c r="G64" i="6" s="1"/>
  <c r="F63" i="6"/>
  <c r="E82" i="6"/>
  <c r="U81" i="6"/>
  <c r="AC78" i="6"/>
  <c r="U77" i="6"/>
  <c r="E74" i="6"/>
  <c r="U73" i="6"/>
  <c r="V72" i="6"/>
  <c r="AC70" i="6"/>
  <c r="U69" i="6"/>
  <c r="AC66" i="6"/>
  <c r="U65" i="6"/>
  <c r="R84" i="6"/>
  <c r="B84" i="6"/>
  <c r="AA84" i="6" s="1"/>
  <c r="R83" i="6"/>
  <c r="U83" i="6" s="1"/>
  <c r="B83" i="6"/>
  <c r="I83" i="6" s="1"/>
  <c r="R82" i="6"/>
  <c r="B82" i="6"/>
  <c r="R81" i="6"/>
  <c r="B81" i="6"/>
  <c r="R80" i="6"/>
  <c r="B80" i="6"/>
  <c r="E80" i="6" s="1"/>
  <c r="R79" i="6"/>
  <c r="U79" i="6" s="1"/>
  <c r="B79" i="6"/>
  <c r="E79" i="6" s="1"/>
  <c r="R78" i="6"/>
  <c r="B78" i="6"/>
  <c r="R77" i="6"/>
  <c r="B77" i="6"/>
  <c r="R76" i="6"/>
  <c r="B76" i="6"/>
  <c r="E76" i="6" s="1"/>
  <c r="R75" i="6"/>
  <c r="B75" i="6"/>
  <c r="R74" i="6"/>
  <c r="B74" i="6"/>
  <c r="R73" i="6"/>
  <c r="B73" i="6"/>
  <c r="R72" i="6"/>
  <c r="B72" i="6"/>
  <c r="AA72" i="6" s="1"/>
  <c r="R71" i="6"/>
  <c r="Y71" i="6" s="1"/>
  <c r="B71" i="6"/>
  <c r="R70" i="6"/>
  <c r="B70" i="6"/>
  <c r="R69" i="6"/>
  <c r="B69" i="6"/>
  <c r="R68" i="6"/>
  <c r="B68" i="6"/>
  <c r="AA68" i="6" s="1"/>
  <c r="R67" i="6"/>
  <c r="U67" i="6" s="1"/>
  <c r="B67" i="6"/>
  <c r="E67" i="6" s="1"/>
  <c r="R66" i="6"/>
  <c r="B66" i="6"/>
  <c r="R65" i="6"/>
  <c r="B65" i="6"/>
  <c r="R64" i="6"/>
  <c r="B64" i="6"/>
  <c r="E64" i="6" s="1"/>
  <c r="R63" i="6"/>
  <c r="Y63" i="6" s="1"/>
  <c r="B63" i="6"/>
  <c r="E63" i="6" s="1"/>
  <c r="U80" i="6"/>
  <c r="V84" i="6"/>
  <c r="W84" i="6" s="1"/>
  <c r="U84" i="6"/>
  <c r="U82" i="6"/>
  <c r="V79" i="6"/>
  <c r="V78" i="6"/>
  <c r="W78" i="6" s="1"/>
  <c r="U78" i="6"/>
  <c r="V76" i="6"/>
  <c r="W76" i="6" s="1"/>
  <c r="U76" i="6"/>
  <c r="U74" i="6"/>
  <c r="V71" i="6"/>
  <c r="V70" i="6"/>
  <c r="W70" i="6" s="1"/>
  <c r="U70" i="6"/>
  <c r="V68" i="6"/>
  <c r="W68" i="6" s="1"/>
  <c r="U68" i="6"/>
  <c r="U66" i="6"/>
  <c r="V64" i="6"/>
  <c r="W64" i="6" s="1"/>
  <c r="V63" i="6"/>
  <c r="N84" i="6"/>
  <c r="O84" i="6" s="1"/>
  <c r="M84" i="6"/>
  <c r="N83" i="6"/>
  <c r="M83" i="6"/>
  <c r="N82" i="6"/>
  <c r="M82" i="6"/>
  <c r="N81" i="6"/>
  <c r="M81" i="6"/>
  <c r="N80" i="6"/>
  <c r="O80" i="6" s="1"/>
  <c r="M80" i="6"/>
  <c r="M79" i="6"/>
  <c r="N78" i="6"/>
  <c r="O78" i="6" s="1"/>
  <c r="M78" i="6"/>
  <c r="N77" i="6"/>
  <c r="O77" i="6" s="1"/>
  <c r="M77" i="6"/>
  <c r="N76" i="6"/>
  <c r="M76" i="6"/>
  <c r="Q75" i="6"/>
  <c r="M75" i="6"/>
  <c r="N74" i="6"/>
  <c r="O74" i="6" s="1"/>
  <c r="M74" i="6"/>
  <c r="N73" i="6"/>
  <c r="O73" i="6" s="1"/>
  <c r="M73" i="6"/>
  <c r="N72" i="6"/>
  <c r="O72" i="6" s="1"/>
  <c r="M72" i="6"/>
  <c r="N71" i="6"/>
  <c r="O71" i="6" s="1"/>
  <c r="M71" i="6"/>
  <c r="N70" i="6"/>
  <c r="O70" i="6" s="1"/>
  <c r="M70" i="6"/>
  <c r="N69" i="6"/>
  <c r="O69" i="6" s="1"/>
  <c r="M69" i="6"/>
  <c r="N68" i="6"/>
  <c r="O68" i="6" s="1"/>
  <c r="M68" i="6"/>
  <c r="J85" i="6"/>
  <c r="K71" i="6" s="1"/>
  <c r="N67" i="6"/>
  <c r="M67" i="6"/>
  <c r="N66" i="6"/>
  <c r="O66" i="6" s="1"/>
  <c r="M66" i="6"/>
  <c r="N65" i="6"/>
  <c r="O65" i="6" s="1"/>
  <c r="M65" i="6"/>
  <c r="N64" i="6"/>
  <c r="O64" i="6" s="1"/>
  <c r="M64" i="6"/>
  <c r="N63" i="6"/>
  <c r="O63" i="6" s="1"/>
  <c r="K63" i="6"/>
  <c r="I78" i="6"/>
  <c r="I70" i="6"/>
  <c r="X60" i="6"/>
  <c r="Y60" i="6" s="1"/>
  <c r="T60" i="6"/>
  <c r="R60" i="6"/>
  <c r="H60" i="6"/>
  <c r="D60" i="6"/>
  <c r="B60" i="6"/>
  <c r="E60" i="6" s="1"/>
  <c r="Z60" i="6"/>
  <c r="X57" i="6"/>
  <c r="T57" i="6"/>
  <c r="U57" i="6" s="1"/>
  <c r="R57" i="6"/>
  <c r="Z57" i="6"/>
  <c r="X61" i="6"/>
  <c r="T61" i="6"/>
  <c r="R61" i="6"/>
  <c r="U61" i="6" s="1"/>
  <c r="H61" i="6"/>
  <c r="F61" i="6" s="1"/>
  <c r="AE61" i="6" s="1"/>
  <c r="D61" i="6"/>
  <c r="B61" i="6"/>
  <c r="E61" i="6" s="1"/>
  <c r="Z61" i="6"/>
  <c r="H58" i="6"/>
  <c r="D58" i="6"/>
  <c r="B58" i="6"/>
  <c r="P58" i="6"/>
  <c r="P62" i="6" s="1"/>
  <c r="L58" i="6"/>
  <c r="AC58" i="6" s="1"/>
  <c r="J58" i="6"/>
  <c r="Z58" i="6"/>
  <c r="X59" i="6"/>
  <c r="T59" i="6"/>
  <c r="R59" i="6"/>
  <c r="Z59" i="6"/>
  <c r="H59" i="6"/>
  <c r="D59" i="6"/>
  <c r="F59" i="6" s="1"/>
  <c r="G59" i="6" s="1"/>
  <c r="B59" i="6"/>
  <c r="X55" i="6"/>
  <c r="V55" i="6" s="1"/>
  <c r="W55" i="6" s="1"/>
  <c r="T55" i="6"/>
  <c r="R55" i="6"/>
  <c r="P55" i="6"/>
  <c r="L55" i="6"/>
  <c r="J55" i="6"/>
  <c r="AA55" i="6" s="1"/>
  <c r="Z55" i="6"/>
  <c r="H55" i="6"/>
  <c r="D55" i="6"/>
  <c r="B55" i="6"/>
  <c r="X26" i="6"/>
  <c r="T26" i="6"/>
  <c r="R26" i="6"/>
  <c r="Y26" i="6" s="1"/>
  <c r="Z26" i="6"/>
  <c r="P26" i="6"/>
  <c r="L26" i="6"/>
  <c r="J26" i="6"/>
  <c r="Z23" i="6"/>
  <c r="X23" i="6"/>
  <c r="T23" i="6"/>
  <c r="R23" i="6"/>
  <c r="P23" i="6"/>
  <c r="L23" i="6"/>
  <c r="AC23" i="6" s="1"/>
  <c r="J23" i="6"/>
  <c r="H23" i="6"/>
  <c r="D23" i="6"/>
  <c r="B23" i="6"/>
  <c r="Z28" i="6"/>
  <c r="X28" i="6"/>
  <c r="T28" i="6"/>
  <c r="V28" i="6" s="1"/>
  <c r="R28" i="6"/>
  <c r="Y28" i="6" s="1"/>
  <c r="P28" i="6"/>
  <c r="L28" i="6"/>
  <c r="N28" i="6" s="1"/>
  <c r="J28" i="6"/>
  <c r="Z27" i="6"/>
  <c r="X27" i="6"/>
  <c r="T27" i="6"/>
  <c r="R27" i="6"/>
  <c r="AA27" i="6" s="1"/>
  <c r="Z25" i="6"/>
  <c r="X25" i="6"/>
  <c r="T25" i="6"/>
  <c r="R25" i="6"/>
  <c r="I26" i="6"/>
  <c r="F26" i="6"/>
  <c r="G26" i="6" s="1"/>
  <c r="X24" i="6"/>
  <c r="Y24" i="6" s="1"/>
  <c r="T24" i="6"/>
  <c r="V24" i="6" s="1"/>
  <c r="W24" i="6" s="1"/>
  <c r="R24" i="6"/>
  <c r="H24" i="6"/>
  <c r="D24" i="6"/>
  <c r="B24" i="6"/>
  <c r="Z24" i="6"/>
  <c r="X22" i="6"/>
  <c r="T22" i="6"/>
  <c r="R22" i="6"/>
  <c r="P22" i="6"/>
  <c r="L22" i="6"/>
  <c r="J22" i="6"/>
  <c r="Z22" i="6"/>
  <c r="H22" i="6"/>
  <c r="D22" i="6"/>
  <c r="B22" i="6"/>
  <c r="E22" i="6" s="1"/>
  <c r="X21" i="6"/>
  <c r="V21" i="6" s="1"/>
  <c r="T21" i="6"/>
  <c r="R21" i="6"/>
  <c r="Z21" i="6"/>
  <c r="H21" i="6"/>
  <c r="D21" i="6"/>
  <c r="B21" i="6"/>
  <c r="Z20" i="6"/>
  <c r="X20" i="6"/>
  <c r="T20" i="6"/>
  <c r="R20" i="6"/>
  <c r="P20" i="6"/>
  <c r="L20" i="6"/>
  <c r="J20" i="6"/>
  <c r="H20" i="6"/>
  <c r="D20" i="6"/>
  <c r="F20" i="6" s="1"/>
  <c r="B20" i="6"/>
  <c r="Z19" i="6"/>
  <c r="Z17" i="6"/>
  <c r="X19" i="6"/>
  <c r="T19" i="6"/>
  <c r="R19" i="6"/>
  <c r="H19" i="6"/>
  <c r="D19" i="6"/>
  <c r="B19" i="6"/>
  <c r="AA19" i="6" s="1"/>
  <c r="P17" i="6"/>
  <c r="N17" i="6" s="1"/>
  <c r="L17" i="6"/>
  <c r="J17" i="6"/>
  <c r="Z16" i="6"/>
  <c r="X16" i="6"/>
  <c r="T16" i="6"/>
  <c r="R16" i="6"/>
  <c r="AA16" i="6" s="1"/>
  <c r="P16" i="6"/>
  <c r="Q16" i="6" s="1"/>
  <c r="L16" i="6"/>
  <c r="J16" i="6"/>
  <c r="Z15" i="6"/>
  <c r="X15" i="6"/>
  <c r="T15" i="6"/>
  <c r="R15" i="6"/>
  <c r="H15" i="6"/>
  <c r="B15" i="6"/>
  <c r="D15" i="6"/>
  <c r="Z14" i="6"/>
  <c r="X14" i="6"/>
  <c r="T14" i="6"/>
  <c r="R14" i="6"/>
  <c r="Z11" i="6"/>
  <c r="X11" i="6"/>
  <c r="T11" i="6"/>
  <c r="AC11" i="6" s="1"/>
  <c r="Z9" i="6"/>
  <c r="X9" i="6"/>
  <c r="T9" i="6"/>
  <c r="R9" i="6"/>
  <c r="H9" i="6"/>
  <c r="D9" i="6"/>
  <c r="B9" i="6"/>
  <c r="AA9" i="6" s="1"/>
  <c r="Z8" i="6"/>
  <c r="X8" i="6"/>
  <c r="T8" i="6"/>
  <c r="R8" i="6"/>
  <c r="Z7" i="6"/>
  <c r="R7" i="6"/>
  <c r="H7" i="6"/>
  <c r="D7" i="6"/>
  <c r="E7" i="6" s="1"/>
  <c r="B7" i="6"/>
  <c r="G5" i="6" s="1"/>
  <c r="Z6" i="6"/>
  <c r="X6" i="6"/>
  <c r="T6" i="6"/>
  <c r="R6" i="6"/>
  <c r="AA6" i="6" s="1"/>
  <c r="AA49" i="6"/>
  <c r="AA48" i="6"/>
  <c r="AA47" i="6"/>
  <c r="AA46" i="6"/>
  <c r="AA45" i="6"/>
  <c r="AA44" i="6"/>
  <c r="AA43" i="6"/>
  <c r="AA42" i="6"/>
  <c r="AA41" i="6"/>
  <c r="AA40" i="6"/>
  <c r="AA39" i="6"/>
  <c r="AA38" i="6"/>
  <c r="AA37" i="6"/>
  <c r="AA36" i="6"/>
  <c r="AA35" i="6"/>
  <c r="AA34" i="6"/>
  <c r="AA33" i="6"/>
  <c r="AA32" i="6"/>
  <c r="AA31" i="6"/>
  <c r="AA30" i="6"/>
  <c r="V26" i="6"/>
  <c r="W26" i="6" s="1"/>
  <c r="V23" i="6"/>
  <c r="W23" i="6" s="1"/>
  <c r="E26" i="6"/>
  <c r="U26" i="6"/>
  <c r="AA52" i="6"/>
  <c r="AA51" i="6"/>
  <c r="V61" i="6"/>
  <c r="W61" i="6" s="1"/>
  <c r="V51" i="6"/>
  <c r="W51" i="6" s="1"/>
  <c r="Y31" i="6"/>
  <c r="V14" i="6"/>
  <c r="W14" i="6" s="1"/>
  <c r="V5" i="6"/>
  <c r="V46" i="6"/>
  <c r="W46" i="6" s="1"/>
  <c r="N12" i="6"/>
  <c r="M31" i="6"/>
  <c r="N5" i="6"/>
  <c r="O5" i="6" s="1"/>
  <c r="Q60" i="6"/>
  <c r="Q56" i="6"/>
  <c r="J10" i="6"/>
  <c r="F83" i="6"/>
  <c r="G82" i="8"/>
  <c r="H79" i="1"/>
  <c r="H78" i="1" s="1"/>
  <c r="I122" i="1"/>
  <c r="G117" i="1"/>
  <c r="G115" i="1" s="1"/>
  <c r="G79" i="1"/>
  <c r="G83" i="1"/>
  <c r="G91" i="1"/>
  <c r="G53" i="1"/>
  <c r="G48" i="1"/>
  <c r="G42" i="1"/>
  <c r="G25" i="1"/>
  <c r="E97" i="8"/>
  <c r="B65" i="2" s="1"/>
  <c r="C102" i="8"/>
  <c r="C97" i="8"/>
  <c r="B97" i="8"/>
  <c r="C79" i="1"/>
  <c r="C83" i="1"/>
  <c r="C117" i="1"/>
  <c r="J26" i="3"/>
  <c r="F87" i="1"/>
  <c r="I87" i="1" s="1"/>
  <c r="G60" i="8"/>
  <c r="G95" i="8" s="1"/>
  <c r="G52" i="8"/>
  <c r="G94" i="8" s="1"/>
  <c r="G43" i="8"/>
  <c r="G40" i="8" s="1"/>
  <c r="F28" i="1"/>
  <c r="F48" i="1"/>
  <c r="F36" i="1"/>
  <c r="F30" i="1"/>
  <c r="F22" i="1"/>
  <c r="I22" i="1" s="1"/>
  <c r="F21" i="1"/>
  <c r="I21" i="1" s="1"/>
  <c r="F18" i="1"/>
  <c r="F15" i="1"/>
  <c r="I15" i="1" s="1"/>
  <c r="F12" i="1"/>
  <c r="F11" i="1"/>
  <c r="I11" i="1" s="1"/>
  <c r="F9" i="1"/>
  <c r="F43" i="1"/>
  <c r="I43" i="1" s="1"/>
  <c r="F40" i="1"/>
  <c r="I40" i="1" s="1"/>
  <c r="E68" i="8"/>
  <c r="C68" i="8"/>
  <c r="C20" i="8"/>
  <c r="D20" i="8" s="1"/>
  <c r="B27" i="8"/>
  <c r="B91" i="8" s="1"/>
  <c r="B125" i="8" s="1"/>
  <c r="B23" i="8"/>
  <c r="B90" i="8" s="1"/>
  <c r="B124" i="8" s="1"/>
  <c r="B20" i="8"/>
  <c r="H9" i="3"/>
  <c r="C27" i="3"/>
  <c r="B9" i="3"/>
  <c r="B39" i="3" s="1"/>
  <c r="D73" i="2"/>
  <c r="D72" i="2"/>
  <c r="D71" i="2"/>
  <c r="B73" i="2"/>
  <c r="B72" i="2"/>
  <c r="B70" i="2" s="1"/>
  <c r="B71" i="2"/>
  <c r="C42" i="1"/>
  <c r="V59" i="6"/>
  <c r="U59" i="6"/>
  <c r="U58" i="6"/>
  <c r="V56" i="6"/>
  <c r="W56" i="6" s="1"/>
  <c r="U56" i="6"/>
  <c r="U55" i="6"/>
  <c r="V52" i="6"/>
  <c r="V48" i="6"/>
  <c r="W48" i="6" s="1"/>
  <c r="U48" i="6"/>
  <c r="U47" i="6"/>
  <c r="U46" i="6"/>
  <c r="V45" i="6"/>
  <c r="W45" i="6" s="1"/>
  <c r="U45" i="6"/>
  <c r="V44" i="6"/>
  <c r="W44" i="6" s="1"/>
  <c r="U44" i="6"/>
  <c r="V43" i="6"/>
  <c r="V42" i="6"/>
  <c r="V40" i="6"/>
  <c r="W40" i="6" s="1"/>
  <c r="U40" i="6"/>
  <c r="U39" i="6"/>
  <c r="V38" i="6"/>
  <c r="W38" i="6" s="1"/>
  <c r="U38" i="6"/>
  <c r="V37" i="6"/>
  <c r="W37" i="6" s="1"/>
  <c r="U37" i="6"/>
  <c r="V36" i="6"/>
  <c r="W36" i="6" s="1"/>
  <c r="U36" i="6"/>
  <c r="V35" i="6"/>
  <c r="W35" i="6" s="1"/>
  <c r="V34" i="6"/>
  <c r="W34" i="6" s="1"/>
  <c r="U34" i="6"/>
  <c r="V32" i="6"/>
  <c r="U32" i="6"/>
  <c r="V31" i="6"/>
  <c r="W31" i="6" s="1"/>
  <c r="U31" i="6"/>
  <c r="V30" i="6"/>
  <c r="W30" i="6" s="1"/>
  <c r="U30" i="6"/>
  <c r="V27" i="6"/>
  <c r="U21" i="6"/>
  <c r="V19" i="6"/>
  <c r="W19" i="6" s="1"/>
  <c r="U19" i="6"/>
  <c r="V18" i="6"/>
  <c r="W18" i="6" s="1"/>
  <c r="V17" i="6"/>
  <c r="V15" i="6"/>
  <c r="U14" i="6"/>
  <c r="V13" i="6"/>
  <c r="W13" i="6" s="1"/>
  <c r="U13" i="6"/>
  <c r="V12" i="6"/>
  <c r="W12" i="6" s="1"/>
  <c r="U12" i="6"/>
  <c r="V9" i="6"/>
  <c r="V8" i="6"/>
  <c r="W8" i="6" s="1"/>
  <c r="U8" i="6"/>
  <c r="U5" i="6"/>
  <c r="N61" i="6"/>
  <c r="O61" i="6" s="1"/>
  <c r="M61" i="6"/>
  <c r="N59" i="6"/>
  <c r="O59" i="6" s="1"/>
  <c r="M59" i="6"/>
  <c r="N57" i="6"/>
  <c r="O57" i="6" s="1"/>
  <c r="M57" i="6"/>
  <c r="N56" i="6"/>
  <c r="O56" i="6" s="1"/>
  <c r="M56" i="6"/>
  <c r="N55" i="6"/>
  <c r="M55" i="6"/>
  <c r="N52" i="6"/>
  <c r="O52" i="6" s="1"/>
  <c r="M52" i="6"/>
  <c r="N51" i="6"/>
  <c r="O51" i="6" s="1"/>
  <c r="M51" i="6"/>
  <c r="N48" i="6"/>
  <c r="O48" i="6" s="1"/>
  <c r="M48" i="6"/>
  <c r="N46" i="6"/>
  <c r="O46" i="6"/>
  <c r="M46" i="6"/>
  <c r="M45" i="6"/>
  <c r="N44" i="6"/>
  <c r="O44" i="6" s="1"/>
  <c r="M44" i="6"/>
  <c r="N43" i="6"/>
  <c r="M43" i="6"/>
  <c r="N42" i="6"/>
  <c r="O42" i="6"/>
  <c r="M42" i="6"/>
  <c r="N40" i="6"/>
  <c r="O40" i="6" s="1"/>
  <c r="M40" i="6"/>
  <c r="N38" i="6"/>
  <c r="O38" i="6" s="1"/>
  <c r="M38" i="6"/>
  <c r="M37" i="6"/>
  <c r="N36" i="6"/>
  <c r="O36" i="6" s="1"/>
  <c r="M36" i="6"/>
  <c r="N35" i="6"/>
  <c r="O35" i="6" s="1"/>
  <c r="M35" i="6"/>
  <c r="N34" i="6"/>
  <c r="O34" i="6" s="1"/>
  <c r="M34" i="6"/>
  <c r="N32" i="6"/>
  <c r="O32" i="6" s="1"/>
  <c r="M32" i="6"/>
  <c r="N31" i="6"/>
  <c r="O31" i="6" s="1"/>
  <c r="N30" i="6"/>
  <c r="O30" i="6" s="1"/>
  <c r="M30" i="6"/>
  <c r="N27" i="6"/>
  <c r="O27" i="6" s="1"/>
  <c r="M27" i="6"/>
  <c r="N25" i="6"/>
  <c r="M25" i="6"/>
  <c r="N21" i="6"/>
  <c r="O21" i="6" s="1"/>
  <c r="M21" i="6"/>
  <c r="N20" i="6"/>
  <c r="O20" i="6" s="1"/>
  <c r="M20" i="6"/>
  <c r="N19" i="6"/>
  <c r="O19" i="6" s="1"/>
  <c r="M19" i="6"/>
  <c r="N18" i="6"/>
  <c r="O18" i="6" s="1"/>
  <c r="M18" i="6"/>
  <c r="M17" i="6"/>
  <c r="N15" i="6"/>
  <c r="O15" i="6" s="1"/>
  <c r="M15" i="6"/>
  <c r="N13" i="6"/>
  <c r="O13" i="6" s="1"/>
  <c r="M13" i="6"/>
  <c r="M12" i="6"/>
  <c r="N11" i="6"/>
  <c r="O11" i="6" s="1"/>
  <c r="M11" i="6"/>
  <c r="N9" i="6"/>
  <c r="O9" i="6" s="1"/>
  <c r="M9" i="6"/>
  <c r="N8" i="6"/>
  <c r="O8" i="6" s="1"/>
  <c r="M8" i="6"/>
  <c r="N6" i="6"/>
  <c r="O6" i="6" s="1"/>
  <c r="M6" i="6"/>
  <c r="M5" i="6"/>
  <c r="F102" i="8"/>
  <c r="E78" i="8"/>
  <c r="E9" i="8"/>
  <c r="F13" i="8"/>
  <c r="F72" i="8"/>
  <c r="B43" i="8"/>
  <c r="B40" i="8" s="1"/>
  <c r="B93" i="8" s="1"/>
  <c r="B127" i="8" s="1"/>
  <c r="B60" i="8"/>
  <c r="B10" i="6"/>
  <c r="AC12" i="6"/>
  <c r="F12" i="6"/>
  <c r="G12" i="6" s="1"/>
  <c r="AC13" i="6"/>
  <c r="F13" i="6"/>
  <c r="G13" i="6" s="1"/>
  <c r="AA12" i="6"/>
  <c r="AA13" i="6"/>
  <c r="AA14" i="6"/>
  <c r="AA56" i="6"/>
  <c r="AA66" i="6"/>
  <c r="AA74" i="6"/>
  <c r="AA80" i="6"/>
  <c r="AA82" i="6"/>
  <c r="F39" i="1"/>
  <c r="I39" i="1" s="1"/>
  <c r="F32" i="1"/>
  <c r="I32" i="1" s="1"/>
  <c r="F33" i="1"/>
  <c r="I33" i="1" s="1"/>
  <c r="F27" i="1"/>
  <c r="I27" i="1" s="1"/>
  <c r="F34" i="1"/>
  <c r="F35" i="1"/>
  <c r="F37" i="1"/>
  <c r="I37" i="1" s="1"/>
  <c r="F38" i="1"/>
  <c r="I38" i="1" s="1"/>
  <c r="F19" i="1"/>
  <c r="F8" i="1"/>
  <c r="F10" i="1"/>
  <c r="I10" i="1" s="1"/>
  <c r="F13" i="1"/>
  <c r="F14" i="1"/>
  <c r="F16" i="1"/>
  <c r="I16" i="1" s="1"/>
  <c r="F17" i="1"/>
  <c r="F20" i="1"/>
  <c r="I20" i="1" s="1"/>
  <c r="F23" i="1"/>
  <c r="F24" i="1"/>
  <c r="F44" i="1"/>
  <c r="I44" i="1" s="1"/>
  <c r="F46" i="1"/>
  <c r="F45" i="1"/>
  <c r="F52" i="1"/>
  <c r="I52" i="1" s="1"/>
  <c r="F55" i="1"/>
  <c r="F63" i="1"/>
  <c r="F60" i="1"/>
  <c r="F57" i="1"/>
  <c r="F59" i="1"/>
  <c r="I59" i="1" s="1"/>
  <c r="F64" i="1"/>
  <c r="F65" i="1"/>
  <c r="G7" i="1"/>
  <c r="H7" i="1"/>
  <c r="H25" i="1"/>
  <c r="H6" i="1" s="1"/>
  <c r="H42" i="1"/>
  <c r="H53" i="1"/>
  <c r="H125" i="1"/>
  <c r="I125" i="1" s="1"/>
  <c r="H117" i="1"/>
  <c r="H109" i="1"/>
  <c r="H99" i="1"/>
  <c r="D74" i="8"/>
  <c r="E72" i="8"/>
  <c r="D70" i="8"/>
  <c r="D69" i="8"/>
  <c r="C20" i="3"/>
  <c r="B95" i="2"/>
  <c r="B94" i="2" s="1"/>
  <c r="C105" i="2" s="1"/>
  <c r="B99" i="2"/>
  <c r="G13" i="8"/>
  <c r="F131" i="8"/>
  <c r="F128" i="8"/>
  <c r="C131" i="8"/>
  <c r="B128" i="8"/>
  <c r="D21" i="8"/>
  <c r="B122" i="8"/>
  <c r="C122" i="8"/>
  <c r="F66" i="1"/>
  <c r="I66" i="1" s="1"/>
  <c r="D36" i="2" s="1"/>
  <c r="F61" i="1"/>
  <c r="F62" i="1"/>
  <c r="F47" i="1"/>
  <c r="F26" i="1"/>
  <c r="I26" i="1" s="1"/>
  <c r="F41" i="1"/>
  <c r="B109" i="8"/>
  <c r="B11" i="2" s="1"/>
  <c r="B78" i="8"/>
  <c r="B68" i="8"/>
  <c r="B8" i="2" s="1"/>
  <c r="B9" i="8"/>
  <c r="C109" i="1"/>
  <c r="F126" i="1"/>
  <c r="I126" i="1"/>
  <c r="G109" i="1"/>
  <c r="I23" i="1"/>
  <c r="I81" i="1"/>
  <c r="AC56" i="6"/>
  <c r="AD56" i="6" s="1"/>
  <c r="F56" i="6"/>
  <c r="G56" i="6" s="1"/>
  <c r="F57" i="6"/>
  <c r="G57" i="6" s="1"/>
  <c r="F60" i="6"/>
  <c r="G60" i="6" s="1"/>
  <c r="AC61" i="6"/>
  <c r="AC68" i="6"/>
  <c r="F68" i="6"/>
  <c r="G68" i="6" s="1"/>
  <c r="AC74" i="6"/>
  <c r="AC76" i="6"/>
  <c r="F76" i="6"/>
  <c r="AC83" i="6"/>
  <c r="AC84" i="6"/>
  <c r="F84" i="6"/>
  <c r="E68" i="6"/>
  <c r="E57" i="6"/>
  <c r="E56" i="6"/>
  <c r="F52" i="6"/>
  <c r="G52" i="6" s="1"/>
  <c r="E52" i="6"/>
  <c r="F51" i="6"/>
  <c r="F49" i="6"/>
  <c r="G49" i="6" s="1"/>
  <c r="E49" i="6"/>
  <c r="F48" i="6"/>
  <c r="G48" i="6" s="1"/>
  <c r="E48" i="6"/>
  <c r="F46" i="6"/>
  <c r="G46" i="6" s="1"/>
  <c r="E46" i="6"/>
  <c r="F45" i="6"/>
  <c r="G45" i="6" s="1"/>
  <c r="E45" i="6"/>
  <c r="E44" i="6"/>
  <c r="F43" i="6"/>
  <c r="E43" i="6"/>
  <c r="F42" i="6"/>
  <c r="E42" i="6"/>
  <c r="F41" i="6"/>
  <c r="G41" i="6" s="1"/>
  <c r="E41" i="6"/>
  <c r="F40" i="6"/>
  <c r="G40" i="6" s="1"/>
  <c r="E40" i="6"/>
  <c r="E39" i="6"/>
  <c r="F38" i="6"/>
  <c r="G38" i="6" s="1"/>
  <c r="E38" i="6"/>
  <c r="F37" i="6"/>
  <c r="G37" i="6" s="1"/>
  <c r="E37" i="6"/>
  <c r="E36" i="6"/>
  <c r="F35" i="6"/>
  <c r="G35" i="6" s="1"/>
  <c r="E35" i="6"/>
  <c r="F34" i="6"/>
  <c r="F33" i="6"/>
  <c r="G33" i="6" s="1"/>
  <c r="E33" i="6"/>
  <c r="F32" i="6"/>
  <c r="G32" i="6" s="1"/>
  <c r="E32" i="6"/>
  <c r="F30" i="6"/>
  <c r="G30" i="6" s="1"/>
  <c r="E30" i="6"/>
  <c r="F28" i="6"/>
  <c r="G28" i="6" s="1"/>
  <c r="E28" i="6"/>
  <c r="E27" i="6"/>
  <c r="F25" i="6"/>
  <c r="E25" i="6"/>
  <c r="F21" i="6"/>
  <c r="E21" i="6"/>
  <c r="F18" i="6"/>
  <c r="E18" i="6"/>
  <c r="F17" i="6"/>
  <c r="F16" i="6"/>
  <c r="G16" i="6" s="1"/>
  <c r="E16" i="6"/>
  <c r="E14" i="6"/>
  <c r="E13" i="6"/>
  <c r="E12" i="6"/>
  <c r="E11" i="6"/>
  <c r="F8" i="6"/>
  <c r="G8" i="6" s="1"/>
  <c r="F6" i="6"/>
  <c r="G6" i="6" s="1"/>
  <c r="E6" i="6"/>
  <c r="AN79" i="5"/>
  <c r="AL79" i="5" s="1"/>
  <c r="AM79" i="5" s="1"/>
  <c r="AJ79" i="5"/>
  <c r="AH79" i="5"/>
  <c r="P79" i="5"/>
  <c r="X79" i="5" s="1"/>
  <c r="V79" i="5" s="1"/>
  <c r="L79" i="5"/>
  <c r="J79" i="5"/>
  <c r="H79" i="5"/>
  <c r="D79" i="5"/>
  <c r="B79" i="5"/>
  <c r="R79" i="5" s="1"/>
  <c r="Z86" i="5"/>
  <c r="AF86" i="5"/>
  <c r="AF30" i="5"/>
  <c r="AF49" i="5" s="1"/>
  <c r="AF51" i="5"/>
  <c r="AF12" i="5"/>
  <c r="AF10" i="5" s="1"/>
  <c r="AD10" i="5" s="1"/>
  <c r="AF28" i="5"/>
  <c r="AF19" i="5"/>
  <c r="AF53" i="5"/>
  <c r="AF60" i="5" s="1"/>
  <c r="AF55" i="5"/>
  <c r="AD86" i="5"/>
  <c r="AB30" i="5"/>
  <c r="AB49" i="5" s="1"/>
  <c r="AB51" i="5"/>
  <c r="AB12" i="5"/>
  <c r="AB10" i="5"/>
  <c r="AB28" i="5"/>
  <c r="AB52" i="5" s="1"/>
  <c r="AB84" i="5" s="1"/>
  <c r="AB87" i="5" s="1"/>
  <c r="AB19" i="5"/>
  <c r="AB53" i="5"/>
  <c r="AB60" i="5" s="1"/>
  <c r="AB55" i="5"/>
  <c r="AB56" i="5"/>
  <c r="AB86" i="5"/>
  <c r="Z12" i="5"/>
  <c r="Z10" i="5"/>
  <c r="Z28" i="5" s="1"/>
  <c r="Z19" i="5"/>
  <c r="Z30" i="5"/>
  <c r="Z49" i="5"/>
  <c r="Z51" i="5"/>
  <c r="Z53" i="5"/>
  <c r="Z55" i="5"/>
  <c r="Z56" i="5"/>
  <c r="X86" i="5"/>
  <c r="V86" i="5"/>
  <c r="T86" i="5"/>
  <c r="R86" i="5"/>
  <c r="H61" i="5"/>
  <c r="X61" i="5"/>
  <c r="P61" i="5"/>
  <c r="H62" i="5"/>
  <c r="P62" i="5"/>
  <c r="H63" i="5"/>
  <c r="X63" i="5" s="1"/>
  <c r="V63" i="5" s="1"/>
  <c r="W63" i="5" s="1"/>
  <c r="P63" i="5"/>
  <c r="H64" i="5"/>
  <c r="X64" i="5" s="1"/>
  <c r="V64" i="5" s="1"/>
  <c r="W64" i="5" s="1"/>
  <c r="P64" i="5"/>
  <c r="H65" i="5"/>
  <c r="X65" i="5" s="1"/>
  <c r="V65" i="5" s="1"/>
  <c r="P65" i="5"/>
  <c r="H66" i="5"/>
  <c r="P66" i="5"/>
  <c r="H67" i="5"/>
  <c r="P67" i="5"/>
  <c r="X67" i="5"/>
  <c r="H68" i="5"/>
  <c r="P68" i="5"/>
  <c r="H69" i="5"/>
  <c r="X69" i="5" s="1"/>
  <c r="P69" i="5"/>
  <c r="N69" i="5" s="1"/>
  <c r="H70" i="5"/>
  <c r="P70" i="5"/>
  <c r="X70" i="5"/>
  <c r="H71" i="5"/>
  <c r="P71" i="5"/>
  <c r="H72" i="5"/>
  <c r="P72" i="5"/>
  <c r="X72" i="5"/>
  <c r="H73" i="5"/>
  <c r="P73" i="5"/>
  <c r="X73" i="5"/>
  <c r="H74" i="5"/>
  <c r="X74" i="5" s="1"/>
  <c r="P74" i="5"/>
  <c r="H75" i="5"/>
  <c r="X75" i="5"/>
  <c r="P75" i="5"/>
  <c r="H76" i="5"/>
  <c r="P76" i="5"/>
  <c r="H77" i="5"/>
  <c r="X77" i="5" s="1"/>
  <c r="P77" i="5"/>
  <c r="H78" i="5"/>
  <c r="P78" i="5"/>
  <c r="H80" i="5"/>
  <c r="X80" i="5"/>
  <c r="P80" i="5"/>
  <c r="H81" i="5"/>
  <c r="X81" i="5" s="1"/>
  <c r="P81" i="5"/>
  <c r="H82" i="5"/>
  <c r="X82" i="5" s="1"/>
  <c r="P82" i="5"/>
  <c r="H29" i="5"/>
  <c r="H49" i="5" s="1"/>
  <c r="H30" i="5"/>
  <c r="H31" i="5"/>
  <c r="H32" i="5"/>
  <c r="H33" i="5"/>
  <c r="H34" i="5"/>
  <c r="H35" i="5"/>
  <c r="H36" i="5"/>
  <c r="H37" i="5"/>
  <c r="H38" i="5"/>
  <c r="H39" i="5"/>
  <c r="H40" i="5"/>
  <c r="H41" i="5"/>
  <c r="H42" i="5"/>
  <c r="H43" i="5"/>
  <c r="H44" i="5"/>
  <c r="H45" i="5"/>
  <c r="H46" i="5"/>
  <c r="H47" i="5"/>
  <c r="H48" i="5"/>
  <c r="H50" i="5"/>
  <c r="H51" i="5"/>
  <c r="H5" i="5"/>
  <c r="H6" i="5"/>
  <c r="H7" i="5"/>
  <c r="H8" i="5"/>
  <c r="H9" i="5"/>
  <c r="H11" i="5"/>
  <c r="H12" i="5"/>
  <c r="H13" i="5"/>
  <c r="H14" i="5"/>
  <c r="H15" i="5"/>
  <c r="H16" i="5"/>
  <c r="H17" i="5"/>
  <c r="H18" i="5"/>
  <c r="H19" i="5"/>
  <c r="H20" i="5"/>
  <c r="H21" i="5"/>
  <c r="H22" i="5"/>
  <c r="H23" i="5"/>
  <c r="H24" i="5"/>
  <c r="H25" i="5"/>
  <c r="H26" i="5"/>
  <c r="H27" i="5"/>
  <c r="P29" i="5"/>
  <c r="P30" i="5"/>
  <c r="P31" i="5"/>
  <c r="P32" i="5"/>
  <c r="P33" i="5"/>
  <c r="P34" i="5"/>
  <c r="P35" i="5"/>
  <c r="P36" i="5"/>
  <c r="P37" i="5"/>
  <c r="P38" i="5"/>
  <c r="P39" i="5"/>
  <c r="P40" i="5"/>
  <c r="P41" i="5"/>
  <c r="P42" i="5"/>
  <c r="P43" i="5"/>
  <c r="P44" i="5"/>
  <c r="P45" i="5"/>
  <c r="P46" i="5"/>
  <c r="P47" i="5"/>
  <c r="P48" i="5"/>
  <c r="P50" i="5"/>
  <c r="P51" i="5"/>
  <c r="X51" i="5" s="1"/>
  <c r="P5" i="5"/>
  <c r="P6" i="5"/>
  <c r="P7" i="5"/>
  <c r="P8" i="5"/>
  <c r="P9" i="5"/>
  <c r="P11" i="5"/>
  <c r="P12" i="5"/>
  <c r="X12" i="5" s="1"/>
  <c r="V12" i="5" s="1"/>
  <c r="P13" i="5"/>
  <c r="P14" i="5"/>
  <c r="P15" i="5"/>
  <c r="P16" i="5"/>
  <c r="P17" i="5"/>
  <c r="P18" i="5"/>
  <c r="P19" i="5"/>
  <c r="P20" i="5"/>
  <c r="P21" i="5"/>
  <c r="P22" i="5"/>
  <c r="P23" i="5"/>
  <c r="P24" i="5"/>
  <c r="P25" i="5"/>
  <c r="P26" i="5"/>
  <c r="P27" i="5"/>
  <c r="H53" i="5"/>
  <c r="P53" i="5"/>
  <c r="H54" i="5"/>
  <c r="P54" i="5"/>
  <c r="H55" i="5"/>
  <c r="X55" i="5" s="1"/>
  <c r="P55" i="5"/>
  <c r="H56" i="5"/>
  <c r="X56" i="5" s="1"/>
  <c r="P56" i="5"/>
  <c r="H57" i="5"/>
  <c r="P57" i="5"/>
  <c r="H58" i="5"/>
  <c r="X58" i="5" s="1"/>
  <c r="P58" i="5"/>
  <c r="H59" i="5"/>
  <c r="X59" i="5" s="1"/>
  <c r="P59" i="5"/>
  <c r="T79" i="5"/>
  <c r="D61" i="5"/>
  <c r="T61" i="5" s="1"/>
  <c r="L61" i="5"/>
  <c r="V61" i="5"/>
  <c r="D62" i="5"/>
  <c r="L62" i="5"/>
  <c r="T62" i="5"/>
  <c r="D63" i="5"/>
  <c r="T63" i="5" s="1"/>
  <c r="L63" i="5"/>
  <c r="D64" i="5"/>
  <c r="T64" i="5" s="1"/>
  <c r="L64" i="5"/>
  <c r="D65" i="5"/>
  <c r="L65" i="5"/>
  <c r="T65" i="5" s="1"/>
  <c r="D66" i="5"/>
  <c r="L66" i="5"/>
  <c r="D67" i="5"/>
  <c r="T67" i="5" s="1"/>
  <c r="L67" i="5"/>
  <c r="D68" i="5"/>
  <c r="L68" i="5"/>
  <c r="D69" i="5"/>
  <c r="L69" i="5"/>
  <c r="D70" i="5"/>
  <c r="L70" i="5"/>
  <c r="D71" i="5"/>
  <c r="T71" i="5" s="1"/>
  <c r="L71" i="5"/>
  <c r="D72" i="5"/>
  <c r="L72" i="5"/>
  <c r="D73" i="5"/>
  <c r="T73" i="5" s="1"/>
  <c r="V73" i="5" s="1"/>
  <c r="L73" i="5"/>
  <c r="D74" i="5"/>
  <c r="L74" i="5"/>
  <c r="N74" i="5" s="1"/>
  <c r="D75" i="5"/>
  <c r="T75" i="5" s="1"/>
  <c r="L75" i="5"/>
  <c r="D76" i="5"/>
  <c r="L76" i="5"/>
  <c r="D77" i="5"/>
  <c r="T77" i="5"/>
  <c r="L77" i="5"/>
  <c r="D78" i="5"/>
  <c r="L78" i="5"/>
  <c r="D80" i="5"/>
  <c r="L80" i="5"/>
  <c r="N80" i="5" s="1"/>
  <c r="O80" i="5" s="1"/>
  <c r="D81" i="5"/>
  <c r="L81" i="5"/>
  <c r="D82" i="5"/>
  <c r="T82" i="5" s="1"/>
  <c r="L82" i="5"/>
  <c r="D29" i="5"/>
  <c r="D30" i="5"/>
  <c r="D31" i="5"/>
  <c r="D32" i="5"/>
  <c r="D33" i="5"/>
  <c r="D34" i="5"/>
  <c r="D35" i="5"/>
  <c r="D36" i="5"/>
  <c r="D37" i="5"/>
  <c r="D38" i="5"/>
  <c r="D39" i="5"/>
  <c r="D40" i="5"/>
  <c r="D41" i="5"/>
  <c r="D42" i="5"/>
  <c r="D43" i="5"/>
  <c r="D44" i="5"/>
  <c r="D45" i="5"/>
  <c r="D46" i="5"/>
  <c r="T46" i="5" s="1"/>
  <c r="D47" i="5"/>
  <c r="D48" i="5"/>
  <c r="D50" i="5"/>
  <c r="D51" i="5"/>
  <c r="D5" i="5"/>
  <c r="D6" i="5"/>
  <c r="D7" i="5"/>
  <c r="D8" i="5"/>
  <c r="T8" i="5" s="1"/>
  <c r="BK8" i="5" s="1"/>
  <c r="D9" i="5"/>
  <c r="D11" i="5"/>
  <c r="D10" i="5"/>
  <c r="D28" i="5" s="1"/>
  <c r="D12" i="5"/>
  <c r="D13" i="5"/>
  <c r="D14" i="5"/>
  <c r="D15" i="5"/>
  <c r="T15" i="5" s="1"/>
  <c r="D16" i="5"/>
  <c r="D17" i="5"/>
  <c r="D18" i="5"/>
  <c r="D19" i="5"/>
  <c r="D20" i="5"/>
  <c r="D21" i="5"/>
  <c r="D22" i="5"/>
  <c r="D23" i="5"/>
  <c r="D24" i="5"/>
  <c r="D25" i="5"/>
  <c r="D26" i="5"/>
  <c r="D27" i="5"/>
  <c r="L29" i="5"/>
  <c r="L30" i="5"/>
  <c r="L31" i="5"/>
  <c r="L32" i="5"/>
  <c r="T32" i="5" s="1"/>
  <c r="L33" i="5"/>
  <c r="L34" i="5"/>
  <c r="L35" i="5"/>
  <c r="L36" i="5"/>
  <c r="L37" i="5"/>
  <c r="L38" i="5"/>
  <c r="L39" i="5"/>
  <c r="L40" i="5"/>
  <c r="T40" i="5" s="1"/>
  <c r="L41" i="5"/>
  <c r="L42" i="5"/>
  <c r="L43" i="5"/>
  <c r="L44" i="5"/>
  <c r="L45" i="5"/>
  <c r="L46" i="5"/>
  <c r="L47" i="5"/>
  <c r="L48" i="5"/>
  <c r="T48" i="5" s="1"/>
  <c r="BK48" i="5" s="1"/>
  <c r="L50" i="5"/>
  <c r="L51" i="5"/>
  <c r="L5" i="5"/>
  <c r="L6" i="5"/>
  <c r="L7" i="5"/>
  <c r="L8" i="5"/>
  <c r="L9" i="5"/>
  <c r="L11" i="5"/>
  <c r="L12" i="5"/>
  <c r="L13" i="5"/>
  <c r="L14" i="5"/>
  <c r="L15" i="5"/>
  <c r="L16" i="5"/>
  <c r="L17" i="5"/>
  <c r="L18" i="5"/>
  <c r="L19" i="5"/>
  <c r="T19" i="5" s="1"/>
  <c r="V19" i="5" s="1"/>
  <c r="L20" i="5"/>
  <c r="L21" i="5"/>
  <c r="L22" i="5"/>
  <c r="L23" i="5"/>
  <c r="L24" i="5"/>
  <c r="L25" i="5"/>
  <c r="L26" i="5"/>
  <c r="L27" i="5"/>
  <c r="D53" i="5"/>
  <c r="L53" i="5"/>
  <c r="T53" i="5"/>
  <c r="D54" i="5"/>
  <c r="T54" i="5" s="1"/>
  <c r="BK54" i="5" s="1"/>
  <c r="BL54" i="5" s="1"/>
  <c r="L54" i="5"/>
  <c r="D55" i="5"/>
  <c r="T55" i="5" s="1"/>
  <c r="L55" i="5"/>
  <c r="L60" i="5" s="1"/>
  <c r="D56" i="5"/>
  <c r="L56" i="5"/>
  <c r="T56" i="5" s="1"/>
  <c r="D57" i="5"/>
  <c r="L57" i="5"/>
  <c r="D58" i="5"/>
  <c r="L58" i="5"/>
  <c r="D59" i="5"/>
  <c r="T59" i="5" s="1"/>
  <c r="L59" i="5"/>
  <c r="B61" i="5"/>
  <c r="J61" i="5"/>
  <c r="B62" i="5"/>
  <c r="J62" i="5"/>
  <c r="R62" i="5"/>
  <c r="B63" i="5"/>
  <c r="R63" i="5" s="1"/>
  <c r="J63" i="5"/>
  <c r="B64" i="5"/>
  <c r="R64" i="5"/>
  <c r="J64" i="5"/>
  <c r="B65" i="5"/>
  <c r="R65" i="5"/>
  <c r="J65" i="5"/>
  <c r="B66" i="5"/>
  <c r="R66" i="5" s="1"/>
  <c r="J66" i="5"/>
  <c r="B67" i="5"/>
  <c r="R67" i="5" s="1"/>
  <c r="J67" i="5"/>
  <c r="B68" i="5"/>
  <c r="R68" i="5" s="1"/>
  <c r="J68" i="5"/>
  <c r="B69" i="5"/>
  <c r="J69" i="5"/>
  <c r="B70" i="5"/>
  <c r="J70" i="5"/>
  <c r="R70" i="5"/>
  <c r="B71" i="5"/>
  <c r="R71" i="5" s="1"/>
  <c r="J71" i="5"/>
  <c r="B72" i="5"/>
  <c r="R72" i="5"/>
  <c r="J72" i="5"/>
  <c r="B73" i="5"/>
  <c r="R73" i="5"/>
  <c r="J73" i="5"/>
  <c r="B74" i="5"/>
  <c r="R74" i="5" s="1"/>
  <c r="J74" i="5"/>
  <c r="B75" i="5"/>
  <c r="R75" i="5" s="1"/>
  <c r="J75" i="5"/>
  <c r="B76" i="5"/>
  <c r="R76" i="5" s="1"/>
  <c r="J76" i="5"/>
  <c r="B77" i="5"/>
  <c r="R77" i="5" s="1"/>
  <c r="J77" i="5"/>
  <c r="B78" i="5"/>
  <c r="J78" i="5"/>
  <c r="R78" i="5"/>
  <c r="B80" i="5"/>
  <c r="R80" i="5" s="1"/>
  <c r="J80" i="5"/>
  <c r="B81" i="5"/>
  <c r="R81" i="5" s="1"/>
  <c r="J81" i="5"/>
  <c r="B82" i="5"/>
  <c r="R82" i="5"/>
  <c r="J82" i="5"/>
  <c r="B29" i="5"/>
  <c r="B30" i="5"/>
  <c r="B31" i="5"/>
  <c r="B32" i="5"/>
  <c r="B33" i="5"/>
  <c r="B34" i="5"/>
  <c r="B35" i="5"/>
  <c r="B36" i="5"/>
  <c r="B37" i="5"/>
  <c r="B38" i="5"/>
  <c r="B39" i="5"/>
  <c r="B40" i="5"/>
  <c r="B41" i="5"/>
  <c r="B42" i="5"/>
  <c r="B43" i="5"/>
  <c r="B44" i="5"/>
  <c r="B45" i="5"/>
  <c r="B46" i="5"/>
  <c r="B47" i="5"/>
  <c r="B48" i="5"/>
  <c r="B50" i="5"/>
  <c r="B51" i="5"/>
  <c r="B5" i="5"/>
  <c r="B6" i="5"/>
  <c r="B7" i="5"/>
  <c r="B8" i="5"/>
  <c r="B9" i="5"/>
  <c r="B11" i="5"/>
  <c r="B10" i="5" s="1"/>
  <c r="B12" i="5"/>
  <c r="B13" i="5"/>
  <c r="B14" i="5"/>
  <c r="B15" i="5"/>
  <c r="B16" i="5"/>
  <c r="B17" i="5"/>
  <c r="B18" i="5"/>
  <c r="R18" i="5" s="1"/>
  <c r="B19" i="5"/>
  <c r="B20" i="5"/>
  <c r="B21" i="5"/>
  <c r="B22" i="5"/>
  <c r="B23" i="5"/>
  <c r="B24" i="5"/>
  <c r="B25" i="5"/>
  <c r="B26" i="5"/>
  <c r="B27" i="5"/>
  <c r="J29" i="5"/>
  <c r="J30" i="5"/>
  <c r="J31" i="5"/>
  <c r="J32" i="5"/>
  <c r="J33" i="5"/>
  <c r="J34" i="5"/>
  <c r="J35" i="5"/>
  <c r="J36" i="5"/>
  <c r="J37" i="5"/>
  <c r="J38" i="5"/>
  <c r="J39" i="5"/>
  <c r="J40" i="5"/>
  <c r="J41" i="5"/>
  <c r="J42" i="5"/>
  <c r="J43" i="5"/>
  <c r="J44" i="5"/>
  <c r="J45" i="5"/>
  <c r="J46" i="5"/>
  <c r="J47" i="5"/>
  <c r="J48" i="5"/>
  <c r="J50" i="5"/>
  <c r="J51" i="5"/>
  <c r="J5" i="5"/>
  <c r="J6" i="5"/>
  <c r="J7" i="5"/>
  <c r="J8" i="5"/>
  <c r="J9" i="5"/>
  <c r="J11" i="5"/>
  <c r="J12" i="5"/>
  <c r="J13" i="5"/>
  <c r="J14" i="5"/>
  <c r="J15" i="5"/>
  <c r="J16" i="5"/>
  <c r="J17" i="5"/>
  <c r="J18" i="5"/>
  <c r="J19" i="5"/>
  <c r="J20" i="5"/>
  <c r="J21" i="5"/>
  <c r="J22" i="5"/>
  <c r="J23" i="5"/>
  <c r="J24" i="5"/>
  <c r="J25" i="5"/>
  <c r="J26" i="5"/>
  <c r="J27" i="5"/>
  <c r="B53" i="5"/>
  <c r="J53" i="5"/>
  <c r="J60" i="5" s="1"/>
  <c r="M60" i="5" s="1"/>
  <c r="B54" i="5"/>
  <c r="R54" i="5"/>
  <c r="J54" i="5"/>
  <c r="B55" i="5"/>
  <c r="J55" i="5"/>
  <c r="B56" i="5"/>
  <c r="R56" i="5" s="1"/>
  <c r="J56" i="5"/>
  <c r="B57" i="5"/>
  <c r="R57" i="5" s="1"/>
  <c r="BG57" i="5" s="1"/>
  <c r="J57" i="5"/>
  <c r="B58" i="5"/>
  <c r="J58" i="5"/>
  <c r="B59" i="5"/>
  <c r="R59" i="5" s="1"/>
  <c r="J59" i="5"/>
  <c r="P86" i="5"/>
  <c r="N86" i="5"/>
  <c r="L86" i="5"/>
  <c r="J86" i="5"/>
  <c r="N79" i="5"/>
  <c r="N61" i="5"/>
  <c r="N62" i="5"/>
  <c r="N63" i="5"/>
  <c r="N64" i="5"/>
  <c r="N65" i="5"/>
  <c r="N67" i="5"/>
  <c r="N68" i="5"/>
  <c r="N70" i="5"/>
  <c r="N72" i="5"/>
  <c r="N73" i="5"/>
  <c r="N75" i="5"/>
  <c r="N76" i="5"/>
  <c r="N77" i="5"/>
  <c r="N81" i="5"/>
  <c r="N82" i="5"/>
  <c r="H86" i="5"/>
  <c r="F79" i="5"/>
  <c r="F61" i="5"/>
  <c r="F63" i="5"/>
  <c r="F64" i="5"/>
  <c r="F65" i="5"/>
  <c r="F67" i="5"/>
  <c r="F73" i="5"/>
  <c r="F75" i="5"/>
  <c r="F77" i="5"/>
  <c r="F80" i="5"/>
  <c r="F82" i="5"/>
  <c r="F86" i="5"/>
  <c r="D86" i="5"/>
  <c r="B86" i="5"/>
  <c r="BO86" i="5"/>
  <c r="BM86" i="5"/>
  <c r="BK86" i="5"/>
  <c r="BG86" i="5"/>
  <c r="BF86" i="5"/>
  <c r="BF82" i="5"/>
  <c r="BF81" i="5"/>
  <c r="BF80" i="5"/>
  <c r="BF79" i="5"/>
  <c r="BF78" i="5"/>
  <c r="BF77" i="5"/>
  <c r="BF76" i="5"/>
  <c r="BF75" i="5"/>
  <c r="BF74" i="5"/>
  <c r="BF73" i="5"/>
  <c r="BF72" i="5"/>
  <c r="BF71" i="5"/>
  <c r="BF70" i="5"/>
  <c r="BF69" i="5"/>
  <c r="BF68" i="5"/>
  <c r="BF67" i="5"/>
  <c r="BF66" i="5"/>
  <c r="BF65" i="5"/>
  <c r="BF64" i="5"/>
  <c r="BF63" i="5"/>
  <c r="BF62" i="5"/>
  <c r="BF61" i="5"/>
  <c r="BF59" i="5"/>
  <c r="BF58" i="5"/>
  <c r="BF57" i="5"/>
  <c r="BF56" i="5"/>
  <c r="BF55" i="5"/>
  <c r="BF54" i="5"/>
  <c r="BF53" i="5"/>
  <c r="BF60" i="5"/>
  <c r="BF51" i="5"/>
  <c r="BF50" i="5"/>
  <c r="BF48" i="5"/>
  <c r="BF47" i="5"/>
  <c r="BF46" i="5"/>
  <c r="BF45" i="5"/>
  <c r="BF44" i="5"/>
  <c r="BF43" i="5"/>
  <c r="BF42" i="5"/>
  <c r="BF41" i="5"/>
  <c r="BF40" i="5"/>
  <c r="BF39" i="5"/>
  <c r="BF38" i="5"/>
  <c r="BF37" i="5"/>
  <c r="BF36" i="5"/>
  <c r="BF35" i="5"/>
  <c r="BF34" i="5"/>
  <c r="BF33" i="5"/>
  <c r="BF32" i="5"/>
  <c r="BF31" i="5"/>
  <c r="BF30" i="5"/>
  <c r="BF29" i="5"/>
  <c r="BF49" i="5" s="1"/>
  <c r="BF27" i="5"/>
  <c r="BF26" i="5"/>
  <c r="BF25" i="5"/>
  <c r="BF24" i="5"/>
  <c r="BF23" i="5"/>
  <c r="BF22" i="5"/>
  <c r="BF21" i="5"/>
  <c r="BF20" i="5"/>
  <c r="BF19" i="5"/>
  <c r="BF18" i="5"/>
  <c r="BF17" i="5"/>
  <c r="BF16" i="5"/>
  <c r="BF15" i="5"/>
  <c r="BF14" i="5"/>
  <c r="BF13" i="5"/>
  <c r="BF12" i="5"/>
  <c r="BF11" i="5"/>
  <c r="BF9" i="5"/>
  <c r="BF8" i="5"/>
  <c r="BF7" i="5"/>
  <c r="BF6" i="5"/>
  <c r="BF5" i="5"/>
  <c r="BF10" i="5"/>
  <c r="BF28" i="5" s="1"/>
  <c r="BF52" i="5" s="1"/>
  <c r="BF84" i="5" s="1"/>
  <c r="AV51" i="5"/>
  <c r="AR51" i="5"/>
  <c r="AP51" i="5"/>
  <c r="AV50" i="5"/>
  <c r="AR50" i="5"/>
  <c r="AP50" i="5"/>
  <c r="AV48" i="5"/>
  <c r="AT48" i="5"/>
  <c r="AU48" i="5" s="1"/>
  <c r="AR48" i="5"/>
  <c r="AP48" i="5"/>
  <c r="AV47" i="5"/>
  <c r="AR47" i="5"/>
  <c r="AP47" i="5"/>
  <c r="AV46" i="5"/>
  <c r="AR46" i="5"/>
  <c r="AT46" i="5" s="1"/>
  <c r="AU46" i="5" s="1"/>
  <c r="AP46" i="5"/>
  <c r="AV45" i="5"/>
  <c r="AR45" i="5"/>
  <c r="AP45" i="5"/>
  <c r="AV44" i="5"/>
  <c r="AR44" i="5"/>
  <c r="AP44" i="5"/>
  <c r="AV43" i="5"/>
  <c r="AR43" i="5"/>
  <c r="AP43" i="5"/>
  <c r="AV42" i="5"/>
  <c r="AR42" i="5"/>
  <c r="AP42" i="5"/>
  <c r="AV41" i="5"/>
  <c r="AR41" i="5"/>
  <c r="AP41" i="5"/>
  <c r="AV40" i="5"/>
  <c r="AT40" i="5" s="1"/>
  <c r="AU40" i="5" s="1"/>
  <c r="AR40" i="5"/>
  <c r="AP40" i="5"/>
  <c r="AV39" i="5"/>
  <c r="AR39" i="5"/>
  <c r="AP39" i="5"/>
  <c r="AS39" i="5" s="1"/>
  <c r="AV38" i="5"/>
  <c r="AR38" i="5"/>
  <c r="AP38" i="5"/>
  <c r="AV37" i="5"/>
  <c r="AR37" i="5"/>
  <c r="AP37" i="5"/>
  <c r="AV36" i="5"/>
  <c r="AR36" i="5"/>
  <c r="AP36" i="5"/>
  <c r="AV35" i="5"/>
  <c r="AR35" i="5"/>
  <c r="AP35" i="5"/>
  <c r="AV34" i="5"/>
  <c r="AR34" i="5"/>
  <c r="AP34" i="5"/>
  <c r="AV33" i="5"/>
  <c r="AT33" i="5" s="1"/>
  <c r="AU33" i="5" s="1"/>
  <c r="AR33" i="5"/>
  <c r="AP33" i="5"/>
  <c r="AV32" i="5"/>
  <c r="AR32" i="5"/>
  <c r="AP32" i="5"/>
  <c r="AV31" i="5"/>
  <c r="AR31" i="5"/>
  <c r="AP31" i="5"/>
  <c r="AS31" i="5" s="1"/>
  <c r="AV30" i="5"/>
  <c r="AR30" i="5"/>
  <c r="AP30" i="5"/>
  <c r="AV29" i="5"/>
  <c r="AR29" i="5"/>
  <c r="AP29" i="5"/>
  <c r="AV27" i="5"/>
  <c r="AR27" i="5"/>
  <c r="AP27" i="5"/>
  <c r="AV26" i="5"/>
  <c r="AR26" i="5"/>
  <c r="AS26" i="5" s="1"/>
  <c r="AP26" i="5"/>
  <c r="AV25" i="5"/>
  <c r="AR25" i="5"/>
  <c r="AP25" i="5"/>
  <c r="AS25" i="5" s="1"/>
  <c r="AV24" i="5"/>
  <c r="AR24" i="5"/>
  <c r="AP24" i="5"/>
  <c r="AV23" i="5"/>
  <c r="AT23" i="5" s="1"/>
  <c r="AU23" i="5" s="1"/>
  <c r="AR23" i="5"/>
  <c r="AP23" i="5"/>
  <c r="AS23" i="5" s="1"/>
  <c r="AV22" i="5"/>
  <c r="AR22" i="5"/>
  <c r="AP22" i="5"/>
  <c r="AS22" i="5" s="1"/>
  <c r="AV21" i="5"/>
  <c r="AR21" i="5"/>
  <c r="AP21" i="5"/>
  <c r="AV20" i="5"/>
  <c r="AR20" i="5"/>
  <c r="AT20" i="5" s="1"/>
  <c r="AU20" i="5" s="1"/>
  <c r="AP20" i="5"/>
  <c r="AV19" i="5"/>
  <c r="AR19" i="5"/>
  <c r="AT19" i="5" s="1"/>
  <c r="AU19" i="5" s="1"/>
  <c r="AP19" i="5"/>
  <c r="AV18" i="5"/>
  <c r="AR18" i="5"/>
  <c r="AP18" i="5"/>
  <c r="AV17" i="5"/>
  <c r="AT17" i="5" s="1"/>
  <c r="AU17" i="5" s="1"/>
  <c r="AR17" i="5"/>
  <c r="AP17" i="5"/>
  <c r="AV16" i="5"/>
  <c r="AT16" i="5" s="1"/>
  <c r="AU16" i="5" s="1"/>
  <c r="AR16" i="5"/>
  <c r="AP16" i="5"/>
  <c r="AV15" i="5"/>
  <c r="AT15" i="5" s="1"/>
  <c r="AU15" i="5" s="1"/>
  <c r="AR15" i="5"/>
  <c r="AS15" i="5" s="1"/>
  <c r="AP15" i="5"/>
  <c r="AV14" i="5"/>
  <c r="AR14" i="5"/>
  <c r="AR10" i="5" s="1"/>
  <c r="AP14" i="5"/>
  <c r="AV13" i="5"/>
  <c r="AR13" i="5"/>
  <c r="AP13" i="5"/>
  <c r="AV12" i="5"/>
  <c r="AT12" i="5" s="1"/>
  <c r="AU12" i="5" s="1"/>
  <c r="AR12" i="5"/>
  <c r="AP12" i="5"/>
  <c r="AV11" i="5"/>
  <c r="AT11" i="5" s="1"/>
  <c r="AU11" i="5" s="1"/>
  <c r="AR11" i="5"/>
  <c r="AP11" i="5"/>
  <c r="AV9" i="5"/>
  <c r="AR9" i="5"/>
  <c r="AP9" i="5"/>
  <c r="AV8" i="5"/>
  <c r="AR8" i="5"/>
  <c r="AP8" i="5"/>
  <c r="AU8" i="5" s="1"/>
  <c r="AV7" i="5"/>
  <c r="AR7" i="5"/>
  <c r="AP7" i="5"/>
  <c r="AV6" i="5"/>
  <c r="AT6" i="5"/>
  <c r="AU6" i="5" s="1"/>
  <c r="AR6" i="5"/>
  <c r="AP6" i="5"/>
  <c r="AS6" i="5" s="1"/>
  <c r="AV5" i="5"/>
  <c r="AR5" i="5"/>
  <c r="AP5" i="5"/>
  <c r="AT51" i="5"/>
  <c r="AU51" i="5"/>
  <c r="AS51" i="5"/>
  <c r="AT50" i="5"/>
  <c r="AU50" i="5"/>
  <c r="AS50" i="5"/>
  <c r="AS48" i="5"/>
  <c r="AT47" i="5"/>
  <c r="AU47" i="5" s="1"/>
  <c r="AS47" i="5"/>
  <c r="AT45" i="5"/>
  <c r="AU45" i="5" s="1"/>
  <c r="AS45" i="5"/>
  <c r="AT44" i="5"/>
  <c r="AU44" i="5" s="1"/>
  <c r="AS44" i="5"/>
  <c r="AT42" i="5"/>
  <c r="AU42" i="5" s="1"/>
  <c r="AS42" i="5"/>
  <c r="AT41" i="5"/>
  <c r="AS40" i="5"/>
  <c r="AT39" i="5"/>
  <c r="AU39" i="5" s="1"/>
  <c r="AT38" i="5"/>
  <c r="AT37" i="5"/>
  <c r="AU37" i="5"/>
  <c r="AS37" i="5"/>
  <c r="AT34" i="5"/>
  <c r="AU34" i="5"/>
  <c r="AS34" i="5"/>
  <c r="AS33" i="5"/>
  <c r="AS32" i="5"/>
  <c r="AT31" i="5"/>
  <c r="AT30" i="5"/>
  <c r="AT29" i="5"/>
  <c r="AU29" i="5" s="1"/>
  <c r="AS29" i="5"/>
  <c r="AV10" i="5"/>
  <c r="AV28" i="5" s="1"/>
  <c r="AT5" i="5"/>
  <c r="AT7" i="5"/>
  <c r="AT8" i="5"/>
  <c r="AT13" i="5"/>
  <c r="AT21" i="5"/>
  <c r="AT22" i="5"/>
  <c r="AU22" i="5" s="1"/>
  <c r="AT24" i="5"/>
  <c r="AT25" i="5"/>
  <c r="AT26" i="5"/>
  <c r="AU26" i="5" s="1"/>
  <c r="AU25" i="5"/>
  <c r="AU24" i="5"/>
  <c r="AS24" i="5"/>
  <c r="AS20" i="5"/>
  <c r="AS17" i="5"/>
  <c r="AS16" i="5"/>
  <c r="AS12" i="5"/>
  <c r="AS11" i="5"/>
  <c r="AU7" i="5"/>
  <c r="AS7" i="5"/>
  <c r="AU5" i="5"/>
  <c r="AS5" i="5"/>
  <c r="AN82" i="5"/>
  <c r="AJ82" i="5"/>
  <c r="AH82" i="5"/>
  <c r="AN81" i="5"/>
  <c r="AL81" i="5" s="1"/>
  <c r="AM81" i="5" s="1"/>
  <c r="AJ81" i="5"/>
  <c r="AH81" i="5"/>
  <c r="AN80" i="5"/>
  <c r="AJ80" i="5"/>
  <c r="AH80" i="5"/>
  <c r="AN78" i="5"/>
  <c r="AJ78" i="5"/>
  <c r="AH78" i="5"/>
  <c r="AN77" i="5"/>
  <c r="AJ77" i="5"/>
  <c r="AH77" i="5"/>
  <c r="AN76" i="5"/>
  <c r="AL76" i="5"/>
  <c r="AJ76" i="5"/>
  <c r="AH76" i="5"/>
  <c r="AN75" i="5"/>
  <c r="AJ75" i="5"/>
  <c r="AH75" i="5"/>
  <c r="AN74" i="5"/>
  <c r="AJ74" i="5"/>
  <c r="AH74" i="5"/>
  <c r="AN73" i="5"/>
  <c r="AJ73" i="5"/>
  <c r="AH73" i="5"/>
  <c r="AN72" i="5"/>
  <c r="AJ72" i="5"/>
  <c r="AH72" i="5"/>
  <c r="AN71" i="5"/>
  <c r="AJ71" i="5"/>
  <c r="AH71" i="5"/>
  <c r="AN70" i="5"/>
  <c r="AL70" i="5" s="1"/>
  <c r="AJ70" i="5"/>
  <c r="AH70" i="5"/>
  <c r="AN69" i="5"/>
  <c r="AJ69" i="5"/>
  <c r="AH69" i="5"/>
  <c r="AN68" i="5"/>
  <c r="AJ68" i="5"/>
  <c r="AH68" i="5"/>
  <c r="AN67" i="5"/>
  <c r="AJ67" i="5"/>
  <c r="AH67" i="5"/>
  <c r="AN66" i="5"/>
  <c r="AJ66" i="5"/>
  <c r="AH66" i="5"/>
  <c r="AN65" i="5"/>
  <c r="AJ65" i="5"/>
  <c r="AH65" i="5"/>
  <c r="AN64" i="5"/>
  <c r="AJ64" i="5"/>
  <c r="AH64" i="5"/>
  <c r="AN63" i="5"/>
  <c r="AJ63" i="5"/>
  <c r="AH63" i="5"/>
  <c r="AN62" i="5"/>
  <c r="AJ62" i="5"/>
  <c r="AH62" i="5"/>
  <c r="AN61" i="5"/>
  <c r="AJ61" i="5"/>
  <c r="AH61" i="5"/>
  <c r="AN59" i="5"/>
  <c r="AJ59" i="5"/>
  <c r="AH59" i="5"/>
  <c r="AN58" i="5"/>
  <c r="AJ58" i="5"/>
  <c r="AH58" i="5"/>
  <c r="AN57" i="5"/>
  <c r="AJ57" i="5"/>
  <c r="AH57" i="5"/>
  <c r="AN56" i="5"/>
  <c r="AJ56" i="5"/>
  <c r="AH56" i="5"/>
  <c r="AN55" i="5"/>
  <c r="AJ55" i="5"/>
  <c r="AH55" i="5"/>
  <c r="AN54" i="5"/>
  <c r="AJ54" i="5"/>
  <c r="AH54" i="5"/>
  <c r="AN53" i="5"/>
  <c r="AJ53" i="5"/>
  <c r="AH53" i="5"/>
  <c r="AN51" i="5"/>
  <c r="AJ51" i="5"/>
  <c r="AH51" i="5"/>
  <c r="AN50" i="5"/>
  <c r="AJ50" i="5"/>
  <c r="AH50" i="5"/>
  <c r="AN48" i="5"/>
  <c r="AJ48" i="5"/>
  <c r="AH48" i="5"/>
  <c r="AN47" i="5"/>
  <c r="AJ47" i="5"/>
  <c r="AH47" i="5"/>
  <c r="AN46" i="5"/>
  <c r="AJ46" i="5"/>
  <c r="AH46" i="5"/>
  <c r="AN45" i="5"/>
  <c r="AJ45" i="5"/>
  <c r="AH45" i="5"/>
  <c r="AN44" i="5"/>
  <c r="AJ44" i="5"/>
  <c r="AH44" i="5"/>
  <c r="BG44" i="5" s="1"/>
  <c r="BJ44" i="5" s="1"/>
  <c r="AN43" i="5"/>
  <c r="AJ43" i="5"/>
  <c r="AH43" i="5"/>
  <c r="AN42" i="5"/>
  <c r="AJ42" i="5"/>
  <c r="AH42" i="5"/>
  <c r="AN41" i="5"/>
  <c r="AL41" i="5"/>
  <c r="AM41" i="5" s="1"/>
  <c r="AJ41" i="5"/>
  <c r="AH41" i="5"/>
  <c r="AN40" i="5"/>
  <c r="AJ40" i="5"/>
  <c r="AH40" i="5"/>
  <c r="AN39" i="5"/>
  <c r="AJ39" i="5"/>
  <c r="BK39" i="5" s="1"/>
  <c r="AH39" i="5"/>
  <c r="AN38" i="5"/>
  <c r="AJ38" i="5"/>
  <c r="AH38" i="5"/>
  <c r="AN37" i="5"/>
  <c r="AJ37" i="5"/>
  <c r="AH37" i="5"/>
  <c r="AN36" i="5"/>
  <c r="AL36" i="5" s="1"/>
  <c r="AM36" i="5" s="1"/>
  <c r="AJ36" i="5"/>
  <c r="AH36" i="5"/>
  <c r="AN35" i="5"/>
  <c r="AJ35" i="5"/>
  <c r="AH35" i="5"/>
  <c r="AN34" i="5"/>
  <c r="AL34" i="5" s="1"/>
  <c r="AM34" i="5" s="1"/>
  <c r="AJ34" i="5"/>
  <c r="AH34" i="5"/>
  <c r="AN33" i="5"/>
  <c r="AL33" i="5" s="1"/>
  <c r="AM33" i="5" s="1"/>
  <c r="AJ33" i="5"/>
  <c r="AH33" i="5"/>
  <c r="AN32" i="5"/>
  <c r="AL32" i="5" s="1"/>
  <c r="AM32" i="5" s="1"/>
  <c r="AJ32" i="5"/>
  <c r="AH32" i="5"/>
  <c r="AN31" i="5"/>
  <c r="AJ31" i="5"/>
  <c r="AH31" i="5"/>
  <c r="AN30" i="5"/>
  <c r="AJ30" i="5"/>
  <c r="AH30" i="5"/>
  <c r="AN29" i="5"/>
  <c r="AJ29" i="5"/>
  <c r="AH29" i="5"/>
  <c r="AN27" i="5"/>
  <c r="AJ27" i="5"/>
  <c r="AH27" i="5"/>
  <c r="AN26" i="5"/>
  <c r="AJ26" i="5"/>
  <c r="AK26" i="5" s="1"/>
  <c r="AH26" i="5"/>
  <c r="AN25" i="5"/>
  <c r="AJ25" i="5"/>
  <c r="AH25" i="5"/>
  <c r="AN24" i="5"/>
  <c r="AJ24" i="5"/>
  <c r="AH24" i="5"/>
  <c r="AN23" i="5"/>
  <c r="AJ23" i="5"/>
  <c r="AH23" i="5"/>
  <c r="AN22" i="5"/>
  <c r="AJ22" i="5"/>
  <c r="AH22" i="5"/>
  <c r="AN21" i="5"/>
  <c r="AJ21" i="5"/>
  <c r="AH21" i="5"/>
  <c r="AN20" i="5"/>
  <c r="AJ20" i="5"/>
  <c r="AH20" i="5"/>
  <c r="AN19" i="5"/>
  <c r="AJ19" i="5"/>
  <c r="AH19" i="5"/>
  <c r="AN18" i="5"/>
  <c r="AJ18" i="5"/>
  <c r="AH18" i="5"/>
  <c r="AN17" i="5"/>
  <c r="AJ17" i="5"/>
  <c r="AH17" i="5"/>
  <c r="AN16" i="5"/>
  <c r="AL16" i="5"/>
  <c r="AM16" i="5" s="1"/>
  <c r="AJ16" i="5"/>
  <c r="AH16" i="5"/>
  <c r="AN15" i="5"/>
  <c r="AJ15" i="5"/>
  <c r="AH15" i="5"/>
  <c r="AN14" i="5"/>
  <c r="AJ14" i="5"/>
  <c r="AL14" i="5" s="1"/>
  <c r="AH14" i="5"/>
  <c r="AN13" i="5"/>
  <c r="AJ13" i="5"/>
  <c r="AH13" i="5"/>
  <c r="AN12" i="5"/>
  <c r="AJ12" i="5"/>
  <c r="AH12" i="5"/>
  <c r="AN11" i="5"/>
  <c r="AN10" i="5" s="1"/>
  <c r="AJ11" i="5"/>
  <c r="AH11" i="5"/>
  <c r="AN9" i="5"/>
  <c r="AL9" i="5" s="1"/>
  <c r="AM9" i="5" s="1"/>
  <c r="AJ9" i="5"/>
  <c r="AH9" i="5"/>
  <c r="AN8" i="5"/>
  <c r="AJ8" i="5"/>
  <c r="AH8" i="5"/>
  <c r="AK8" i="5" s="1"/>
  <c r="AN7" i="5"/>
  <c r="AJ7" i="5"/>
  <c r="AH7" i="5"/>
  <c r="AN6" i="5"/>
  <c r="AJ6" i="5"/>
  <c r="AH6" i="5"/>
  <c r="AN5" i="5"/>
  <c r="AJ5" i="5"/>
  <c r="AL5" i="5" s="1"/>
  <c r="AM5" i="5" s="1"/>
  <c r="AH5" i="5"/>
  <c r="AL61" i="5"/>
  <c r="AL64" i="5"/>
  <c r="AL66" i="5"/>
  <c r="AL67" i="5"/>
  <c r="AM67" i="5"/>
  <c r="AL69" i="5"/>
  <c r="AL72" i="5"/>
  <c r="AL74" i="5"/>
  <c r="AL75" i="5"/>
  <c r="AM75" i="5" s="1"/>
  <c r="AL77" i="5"/>
  <c r="AM77" i="5" s="1"/>
  <c r="AL78" i="5"/>
  <c r="AL82" i="5"/>
  <c r="AM82" i="5" s="1"/>
  <c r="AK82" i="5"/>
  <c r="AK81" i="5"/>
  <c r="AK79" i="5"/>
  <c r="AK77" i="5"/>
  <c r="AK75" i="5"/>
  <c r="AM72" i="5"/>
  <c r="AK72" i="5"/>
  <c r="AK70" i="5"/>
  <c r="AM69" i="5"/>
  <c r="AK69" i="5"/>
  <c r="AK67" i="5"/>
  <c r="AM64" i="5"/>
  <c r="AK64" i="5"/>
  <c r="AK62" i="5"/>
  <c r="AM61" i="5"/>
  <c r="AK61" i="5"/>
  <c r="AL58" i="5"/>
  <c r="AM58" i="5" s="1"/>
  <c r="AK58" i="5"/>
  <c r="AL57" i="5"/>
  <c r="AM57" i="5"/>
  <c r="AL55" i="5"/>
  <c r="AM55" i="5" s="1"/>
  <c r="AK55" i="5"/>
  <c r="AL54" i="5"/>
  <c r="AM54" i="5"/>
  <c r="AK53" i="5"/>
  <c r="AL51" i="5"/>
  <c r="AM51" i="5" s="1"/>
  <c r="AK51" i="5"/>
  <c r="AL50" i="5"/>
  <c r="AL48" i="5"/>
  <c r="AM48" i="5" s="1"/>
  <c r="AK48" i="5"/>
  <c r="AL47" i="5"/>
  <c r="AL45" i="5"/>
  <c r="AM45" i="5" s="1"/>
  <c r="AK45" i="5"/>
  <c r="AL43" i="5"/>
  <c r="AM43" i="5" s="1"/>
  <c r="AK43" i="5"/>
  <c r="AL42" i="5"/>
  <c r="AM42" i="5"/>
  <c r="AK42" i="5"/>
  <c r="AK41" i="5"/>
  <c r="AL40" i="5"/>
  <c r="AM40" i="5"/>
  <c r="AK40" i="5"/>
  <c r="AL39" i="5"/>
  <c r="AL38" i="5"/>
  <c r="AM38" i="5"/>
  <c r="AK38" i="5"/>
  <c r="AL37" i="5"/>
  <c r="AM37" i="5" s="1"/>
  <c r="AK37" i="5"/>
  <c r="AL35" i="5"/>
  <c r="AM35" i="5"/>
  <c r="AK35" i="5"/>
  <c r="AK34" i="5"/>
  <c r="AK33" i="5"/>
  <c r="AK32" i="5"/>
  <c r="AL31" i="5"/>
  <c r="AL30" i="5"/>
  <c r="AL29" i="5"/>
  <c r="AM29" i="5"/>
  <c r="AK29" i="5"/>
  <c r="AL6" i="5"/>
  <c r="AL8" i="5"/>
  <c r="AL12" i="5"/>
  <c r="AL13" i="5"/>
  <c r="AM13" i="5" s="1"/>
  <c r="AL15" i="5"/>
  <c r="AL17" i="5"/>
  <c r="AL20" i="5"/>
  <c r="AM20" i="5" s="1"/>
  <c r="AL22" i="5"/>
  <c r="AL23" i="5"/>
  <c r="AL25" i="5"/>
  <c r="AL26" i="5"/>
  <c r="AM26" i="5" s="1"/>
  <c r="AM25" i="5"/>
  <c r="AK25" i="5"/>
  <c r="AM23" i="5"/>
  <c r="AK23" i="5"/>
  <c r="AK21" i="5"/>
  <c r="AK20" i="5"/>
  <c r="AM17" i="5"/>
  <c r="AK17" i="5"/>
  <c r="AK16" i="5"/>
  <c r="AM15" i="5"/>
  <c r="AK15" i="5"/>
  <c r="AK13" i="5"/>
  <c r="AM12" i="5"/>
  <c r="AK12" i="5"/>
  <c r="AK9" i="5"/>
  <c r="AK7" i="5"/>
  <c r="AM6" i="5"/>
  <c r="AK6" i="5"/>
  <c r="T29" i="5"/>
  <c r="BK29" i="5" s="1"/>
  <c r="T31" i="5"/>
  <c r="BK31" i="5"/>
  <c r="BK32" i="5"/>
  <c r="T33" i="5"/>
  <c r="BK33" i="5" s="1"/>
  <c r="T34" i="5"/>
  <c r="BK34" i="5" s="1"/>
  <c r="T35" i="5"/>
  <c r="BK35" i="5"/>
  <c r="T36" i="5"/>
  <c r="BK36" i="5"/>
  <c r="T37" i="5"/>
  <c r="BK37" i="5" s="1"/>
  <c r="T38" i="5"/>
  <c r="BK38" i="5" s="1"/>
  <c r="T39" i="5"/>
  <c r="BK40" i="5"/>
  <c r="T41" i="5"/>
  <c r="BK41" i="5" s="1"/>
  <c r="T42" i="5"/>
  <c r="BK42" i="5" s="1"/>
  <c r="T43" i="5"/>
  <c r="BK43" i="5"/>
  <c r="T44" i="5"/>
  <c r="T45" i="5"/>
  <c r="BK45" i="5" s="1"/>
  <c r="T47" i="5"/>
  <c r="BK47" i="5"/>
  <c r="T30" i="5"/>
  <c r="X29" i="5"/>
  <c r="V29" i="5"/>
  <c r="BM29" i="5" s="1"/>
  <c r="X31" i="5"/>
  <c r="V31" i="5"/>
  <c r="BM31" i="5" s="1"/>
  <c r="X32" i="5"/>
  <c r="V32" i="5" s="1"/>
  <c r="X33" i="5"/>
  <c r="V33" i="5"/>
  <c r="BM33" i="5" s="1"/>
  <c r="X35" i="5"/>
  <c r="X36" i="5"/>
  <c r="X37" i="5"/>
  <c r="V37" i="5" s="1"/>
  <c r="BM37" i="5" s="1"/>
  <c r="X38" i="5"/>
  <c r="X39" i="5"/>
  <c r="V39" i="5" s="1"/>
  <c r="X40" i="5"/>
  <c r="V40" i="5" s="1"/>
  <c r="X42" i="5"/>
  <c r="X43" i="5"/>
  <c r="V43" i="5" s="1"/>
  <c r="X44" i="5"/>
  <c r="V44" i="5"/>
  <c r="X45" i="5"/>
  <c r="X46" i="5"/>
  <c r="V46" i="5"/>
  <c r="X47" i="5"/>
  <c r="V47" i="5"/>
  <c r="BM47" i="5"/>
  <c r="X48" i="5"/>
  <c r="X30" i="5"/>
  <c r="AD30" i="5"/>
  <c r="T50" i="5"/>
  <c r="BK50" i="5" s="1"/>
  <c r="T51" i="5"/>
  <c r="BK51" i="5" s="1"/>
  <c r="AD51" i="5"/>
  <c r="X5" i="5"/>
  <c r="T6" i="5"/>
  <c r="BK6" i="5"/>
  <c r="X6" i="5"/>
  <c r="V6" i="5"/>
  <c r="T7" i="5"/>
  <c r="BK7" i="5"/>
  <c r="X7" i="5"/>
  <c r="V7" i="5" s="1"/>
  <c r="T9" i="5"/>
  <c r="BK9" i="5" s="1"/>
  <c r="X9" i="5"/>
  <c r="V9" i="5" s="1"/>
  <c r="T11" i="5"/>
  <c r="BK11" i="5" s="1"/>
  <c r="T12" i="5"/>
  <c r="BK12" i="5"/>
  <c r="T13" i="5"/>
  <c r="BK13" i="5" s="1"/>
  <c r="X11" i="5"/>
  <c r="V11" i="5"/>
  <c r="W11" i="5" s="1"/>
  <c r="AD12" i="5"/>
  <c r="X13" i="5"/>
  <c r="V13" i="5" s="1"/>
  <c r="BM13" i="5" s="1"/>
  <c r="X14" i="5"/>
  <c r="X15" i="5"/>
  <c r="V15" i="5" s="1"/>
  <c r="BM15" i="5" s="1"/>
  <c r="BN15" i="5" s="1"/>
  <c r="T16" i="5"/>
  <c r="BK16" i="5"/>
  <c r="X16" i="5"/>
  <c r="V16" i="5"/>
  <c r="T17" i="5"/>
  <c r="BK17" i="5"/>
  <c r="T18" i="5"/>
  <c r="BK18" i="5" s="1"/>
  <c r="BM18" i="5"/>
  <c r="BO18" i="5"/>
  <c r="BK19" i="5"/>
  <c r="X19" i="5"/>
  <c r="AD19" i="5"/>
  <c r="T20" i="5"/>
  <c r="X20" i="5"/>
  <c r="T21" i="5"/>
  <c r="BK21" i="5" s="1"/>
  <c r="BL21" i="5" s="1"/>
  <c r="X21" i="5"/>
  <c r="V21" i="5"/>
  <c r="T22" i="5"/>
  <c r="BK22" i="5" s="1"/>
  <c r="X22" i="5"/>
  <c r="V22" i="5"/>
  <c r="BM22" i="5" s="1"/>
  <c r="T23" i="5"/>
  <c r="V23" i="5" s="1"/>
  <c r="BM23" i="5" s="1"/>
  <c r="BK23" i="5"/>
  <c r="X23" i="5"/>
  <c r="T24" i="5"/>
  <c r="X24" i="5"/>
  <c r="T25" i="5"/>
  <c r="BK25" i="5"/>
  <c r="X25" i="5"/>
  <c r="T26" i="5"/>
  <c r="BK26" i="5"/>
  <c r="X26" i="5"/>
  <c r="V26" i="5" s="1"/>
  <c r="BM26" i="5" s="1"/>
  <c r="T27" i="5"/>
  <c r="X27" i="5"/>
  <c r="V27" i="5" s="1"/>
  <c r="W27" i="5" s="1"/>
  <c r="R48" i="5"/>
  <c r="BG48" i="5"/>
  <c r="R33" i="5"/>
  <c r="BG33" i="5"/>
  <c r="R29" i="5"/>
  <c r="R31" i="5"/>
  <c r="BG31" i="5" s="1"/>
  <c r="R32" i="5"/>
  <c r="BG32" i="5"/>
  <c r="R34" i="5"/>
  <c r="BG34" i="5"/>
  <c r="R35" i="5"/>
  <c r="R36" i="5"/>
  <c r="BG36" i="5" s="1"/>
  <c r="R37" i="5"/>
  <c r="BG37" i="5"/>
  <c r="R38" i="5"/>
  <c r="BG38" i="5"/>
  <c r="R39" i="5"/>
  <c r="R40" i="5"/>
  <c r="BG40" i="5" s="1"/>
  <c r="R41" i="5"/>
  <c r="R42" i="5"/>
  <c r="R44" i="5"/>
  <c r="R45" i="5"/>
  <c r="BG45" i="5"/>
  <c r="R46" i="5"/>
  <c r="BG46" i="5" s="1"/>
  <c r="BJ46" i="5" s="1"/>
  <c r="R47" i="5"/>
  <c r="BG47" i="5"/>
  <c r="R30" i="5"/>
  <c r="BG30" i="5"/>
  <c r="R50" i="5"/>
  <c r="R51" i="5"/>
  <c r="BG51" i="5" s="1"/>
  <c r="BL51" i="5" s="1"/>
  <c r="R6" i="5"/>
  <c r="BG6" i="5"/>
  <c r="R7" i="5"/>
  <c r="BG7" i="5"/>
  <c r="R8" i="5"/>
  <c r="BG8" i="5" s="1"/>
  <c r="BJ8" i="5" s="1"/>
  <c r="R9" i="5"/>
  <c r="BG9" i="5"/>
  <c r="R11" i="5"/>
  <c r="BG11" i="5"/>
  <c r="R12" i="5"/>
  <c r="BG12" i="5"/>
  <c r="R13" i="5"/>
  <c r="BG13" i="5" s="1"/>
  <c r="R15" i="5"/>
  <c r="BG15" i="5"/>
  <c r="R16" i="5"/>
  <c r="BG16" i="5"/>
  <c r="R17" i="5"/>
  <c r="BG17" i="5" s="1"/>
  <c r="BG18" i="5"/>
  <c r="R19" i="5"/>
  <c r="R20" i="5"/>
  <c r="BG20" i="5"/>
  <c r="R21" i="5"/>
  <c r="BG21" i="5" s="1"/>
  <c r="BJ21" i="5" s="1"/>
  <c r="R22" i="5"/>
  <c r="BG22" i="5"/>
  <c r="BJ22" i="5" s="1"/>
  <c r="R23" i="5"/>
  <c r="BG23" i="5"/>
  <c r="R24" i="5"/>
  <c r="BG24" i="5"/>
  <c r="R25" i="5"/>
  <c r="BG25" i="5" s="1"/>
  <c r="BJ25" i="5" s="1"/>
  <c r="R27" i="5"/>
  <c r="BG27" i="5"/>
  <c r="BI49" i="5"/>
  <c r="BI50" i="5"/>
  <c r="BI5" i="5"/>
  <c r="BI6" i="5"/>
  <c r="BI7" i="5"/>
  <c r="BI8" i="5"/>
  <c r="BI9" i="5"/>
  <c r="BI11" i="5"/>
  <c r="BI12" i="5"/>
  <c r="BI13" i="5"/>
  <c r="BI14" i="5"/>
  <c r="BI10" i="5" s="1"/>
  <c r="BI15" i="5"/>
  <c r="BJ15" i="5" s="1"/>
  <c r="BI16" i="5"/>
  <c r="BI17" i="5"/>
  <c r="BI18" i="5"/>
  <c r="BI19" i="5"/>
  <c r="BI20" i="5"/>
  <c r="BI21" i="5"/>
  <c r="BI22" i="5"/>
  <c r="BI23" i="5"/>
  <c r="BI24" i="5"/>
  <c r="BI25" i="5"/>
  <c r="BI26" i="5"/>
  <c r="BI27" i="5"/>
  <c r="BG61" i="5"/>
  <c r="BG62" i="5"/>
  <c r="BG63" i="5"/>
  <c r="BG64" i="5"/>
  <c r="BG65" i="5"/>
  <c r="BG66" i="5"/>
  <c r="BG67" i="5"/>
  <c r="BG69" i="5"/>
  <c r="BG70" i="5"/>
  <c r="BJ70" i="5" s="1"/>
  <c r="BG71" i="5"/>
  <c r="BG72" i="5"/>
  <c r="BG73" i="5"/>
  <c r="BG74" i="5"/>
  <c r="BG75" i="5"/>
  <c r="BG77" i="5"/>
  <c r="BG78" i="5"/>
  <c r="BJ78" i="5" s="1"/>
  <c r="BG79" i="5"/>
  <c r="BG80" i="5"/>
  <c r="BG81" i="5"/>
  <c r="BG82" i="5"/>
  <c r="BG54" i="5"/>
  <c r="BG56" i="5"/>
  <c r="BD28" i="5"/>
  <c r="AX28" i="5"/>
  <c r="BE52" i="5"/>
  <c r="AZ28" i="5"/>
  <c r="BC52" i="5"/>
  <c r="BA52" i="5"/>
  <c r="AY52" i="5"/>
  <c r="O82" i="5"/>
  <c r="M82" i="5"/>
  <c r="O81" i="5"/>
  <c r="M81" i="5"/>
  <c r="M80" i="5"/>
  <c r="O79" i="5"/>
  <c r="M79" i="5"/>
  <c r="M78" i="5"/>
  <c r="O77" i="5"/>
  <c r="M77" i="5"/>
  <c r="O76" i="5"/>
  <c r="M76" i="5"/>
  <c r="O75" i="5"/>
  <c r="M75" i="5"/>
  <c r="O74" i="5"/>
  <c r="M74" i="5"/>
  <c r="O73" i="5"/>
  <c r="M73" i="5"/>
  <c r="O72" i="5"/>
  <c r="M72" i="5"/>
  <c r="M71" i="5"/>
  <c r="O70" i="5"/>
  <c r="M70" i="5"/>
  <c r="O68" i="5"/>
  <c r="M68" i="5"/>
  <c r="O67" i="5"/>
  <c r="M67" i="5"/>
  <c r="M66" i="5"/>
  <c r="O65" i="5"/>
  <c r="M65" i="5"/>
  <c r="O64" i="5"/>
  <c r="M64" i="5"/>
  <c r="O63" i="5"/>
  <c r="M63" i="5"/>
  <c r="O62" i="5"/>
  <c r="M62" i="5"/>
  <c r="O61" i="5"/>
  <c r="M61" i="5"/>
  <c r="N59" i="5"/>
  <c r="O59" i="5"/>
  <c r="M59" i="5"/>
  <c r="N58" i="5"/>
  <c r="O58" i="5" s="1"/>
  <c r="M58" i="5"/>
  <c r="N57" i="5"/>
  <c r="O57" i="5" s="1"/>
  <c r="M57" i="5"/>
  <c r="N56" i="5"/>
  <c r="O56" i="5" s="1"/>
  <c r="M56" i="5"/>
  <c r="N55" i="5"/>
  <c r="O55" i="5"/>
  <c r="M55" i="5"/>
  <c r="M54" i="5"/>
  <c r="N53" i="5"/>
  <c r="O53" i="5"/>
  <c r="M53" i="5"/>
  <c r="N51" i="5"/>
  <c r="O51" i="5" s="1"/>
  <c r="M51" i="5"/>
  <c r="N50" i="5"/>
  <c r="O50" i="5" s="1"/>
  <c r="M50" i="5"/>
  <c r="N48" i="5"/>
  <c r="O48" i="5" s="1"/>
  <c r="M48" i="5"/>
  <c r="N47" i="5"/>
  <c r="O47" i="5"/>
  <c r="M47" i="5"/>
  <c r="N46" i="5"/>
  <c r="O46" i="5"/>
  <c r="M46" i="5"/>
  <c r="N45" i="5"/>
  <c r="O45" i="5"/>
  <c r="M45" i="5"/>
  <c r="N44" i="5"/>
  <c r="O44" i="5"/>
  <c r="M44" i="5"/>
  <c r="N43" i="5"/>
  <c r="O43" i="5"/>
  <c r="N42" i="5"/>
  <c r="O42" i="5" s="1"/>
  <c r="M42" i="5"/>
  <c r="N41" i="5"/>
  <c r="O41" i="5" s="1"/>
  <c r="M41" i="5"/>
  <c r="N40" i="5"/>
  <c r="O40" i="5" s="1"/>
  <c r="M40" i="5"/>
  <c r="N39" i="5"/>
  <c r="O39" i="5"/>
  <c r="M39" i="5"/>
  <c r="N38" i="5"/>
  <c r="O38" i="5"/>
  <c r="M38" i="5"/>
  <c r="N37" i="5"/>
  <c r="O37" i="5"/>
  <c r="M37" i="5"/>
  <c r="N36" i="5"/>
  <c r="O36" i="5"/>
  <c r="M36" i="5"/>
  <c r="N35" i="5"/>
  <c r="O35" i="5"/>
  <c r="M34" i="5"/>
  <c r="N33" i="5"/>
  <c r="O33" i="5" s="1"/>
  <c r="M33" i="5"/>
  <c r="N32" i="5"/>
  <c r="O32" i="5" s="1"/>
  <c r="M32" i="5"/>
  <c r="N31" i="5"/>
  <c r="O31" i="5"/>
  <c r="M31" i="5"/>
  <c r="N30" i="5"/>
  <c r="O30" i="5"/>
  <c r="M30" i="5"/>
  <c r="N29" i="5"/>
  <c r="O29" i="5"/>
  <c r="M29" i="5"/>
  <c r="N5" i="5"/>
  <c r="N6" i="5"/>
  <c r="N7" i="5"/>
  <c r="O7" i="5"/>
  <c r="N8" i="5"/>
  <c r="N9" i="5"/>
  <c r="O9" i="5" s="1"/>
  <c r="N11" i="5"/>
  <c r="N12" i="5"/>
  <c r="N13" i="5"/>
  <c r="O13" i="5"/>
  <c r="N14" i="5"/>
  <c r="O14" i="5" s="1"/>
  <c r="N15" i="5"/>
  <c r="O15" i="5"/>
  <c r="N16" i="5"/>
  <c r="N17" i="5"/>
  <c r="O17" i="5"/>
  <c r="N19" i="5"/>
  <c r="N20" i="5"/>
  <c r="O20" i="5" s="1"/>
  <c r="N21" i="5"/>
  <c r="O21" i="5" s="1"/>
  <c r="N22" i="5"/>
  <c r="O22" i="5"/>
  <c r="N23" i="5"/>
  <c r="N24" i="5"/>
  <c r="O24" i="5"/>
  <c r="N25" i="5"/>
  <c r="N26" i="5"/>
  <c r="O26" i="5"/>
  <c r="N27" i="5"/>
  <c r="O27" i="5"/>
  <c r="M27" i="5"/>
  <c r="M26" i="5"/>
  <c r="O25" i="5"/>
  <c r="M25" i="5"/>
  <c r="M24" i="5"/>
  <c r="O23" i="5"/>
  <c r="M23" i="5"/>
  <c r="M22" i="5"/>
  <c r="M21" i="5"/>
  <c r="M20" i="5"/>
  <c r="O19" i="5"/>
  <c r="M19" i="5"/>
  <c r="M17" i="5"/>
  <c r="O16" i="5"/>
  <c r="M16" i="5"/>
  <c r="M15" i="5"/>
  <c r="M13" i="5"/>
  <c r="O12" i="5"/>
  <c r="M12" i="5"/>
  <c r="O11" i="5"/>
  <c r="M11" i="5"/>
  <c r="M9" i="5"/>
  <c r="O8" i="5"/>
  <c r="M8" i="5"/>
  <c r="M7" i="5"/>
  <c r="O6" i="5"/>
  <c r="M6" i="5"/>
  <c r="B33" i="3"/>
  <c r="D33" i="3" s="1"/>
  <c r="C33" i="3"/>
  <c r="B34" i="3"/>
  <c r="C34" i="3"/>
  <c r="B12" i="3"/>
  <c r="B16" i="3"/>
  <c r="B30" i="3"/>
  <c r="D30" i="3" s="1"/>
  <c r="C30" i="3"/>
  <c r="J30" i="3"/>
  <c r="H30" i="3"/>
  <c r="H16" i="3"/>
  <c r="C11" i="3"/>
  <c r="B15" i="3"/>
  <c r="C15" i="3"/>
  <c r="B22" i="3"/>
  <c r="D22" i="3" s="1"/>
  <c r="I22" i="3" s="1"/>
  <c r="C22" i="3"/>
  <c r="B29" i="3"/>
  <c r="C29" i="3"/>
  <c r="J35" i="3"/>
  <c r="H35" i="3"/>
  <c r="F35" i="3"/>
  <c r="B35" i="3"/>
  <c r="J29" i="3"/>
  <c r="H29" i="3"/>
  <c r="H22" i="3"/>
  <c r="J15" i="3"/>
  <c r="H15" i="3"/>
  <c r="H11" i="3"/>
  <c r="B27" i="3"/>
  <c r="J9" i="3"/>
  <c r="H26" i="3"/>
  <c r="B26" i="3"/>
  <c r="J20" i="3"/>
  <c r="H20" i="3"/>
  <c r="B20" i="3"/>
  <c r="H8" i="3"/>
  <c r="H25" i="3"/>
  <c r="B25" i="3"/>
  <c r="F37" i="3"/>
  <c r="F38" i="3"/>
  <c r="F39" i="3"/>
  <c r="F41" i="3"/>
  <c r="F42" i="3"/>
  <c r="F28" i="3"/>
  <c r="F31" i="3"/>
  <c r="F21" i="3"/>
  <c r="F23" i="3" s="1"/>
  <c r="F17" i="3"/>
  <c r="F10" i="3"/>
  <c r="F13" i="3"/>
  <c r="Y82" i="5"/>
  <c r="U82" i="5"/>
  <c r="Y81" i="5"/>
  <c r="Y80" i="5"/>
  <c r="Y79" i="5"/>
  <c r="W79" i="5"/>
  <c r="U79" i="5"/>
  <c r="Y77" i="5"/>
  <c r="U77" i="5"/>
  <c r="U75" i="5"/>
  <c r="Y74" i="5"/>
  <c r="Y73" i="5"/>
  <c r="W73" i="5"/>
  <c r="U73" i="5"/>
  <c r="Y72" i="5"/>
  <c r="U71" i="5"/>
  <c r="Y70" i="5"/>
  <c r="Y67" i="5"/>
  <c r="U67" i="5"/>
  <c r="Y65" i="5"/>
  <c r="W65" i="5"/>
  <c r="U65" i="5"/>
  <c r="Y64" i="5"/>
  <c r="U64" i="5"/>
  <c r="Y63" i="5"/>
  <c r="U63" i="5"/>
  <c r="U62" i="5"/>
  <c r="Q61" i="6"/>
  <c r="Q59" i="6"/>
  <c r="Q57" i="6"/>
  <c r="AD53" i="5"/>
  <c r="AD54" i="5"/>
  <c r="V55" i="5"/>
  <c r="BM55" i="5"/>
  <c r="BO55" i="5" s="1"/>
  <c r="AD55" i="5"/>
  <c r="AE55" i="5"/>
  <c r="V56" i="5"/>
  <c r="AD56" i="5"/>
  <c r="AD57" i="5"/>
  <c r="AD58" i="5"/>
  <c r="V59" i="5"/>
  <c r="W59" i="5" s="1"/>
  <c r="AD59" i="5"/>
  <c r="AE59" i="5" s="1"/>
  <c r="BK53" i="5"/>
  <c r="BK55" i="5"/>
  <c r="BK59" i="5"/>
  <c r="AD49" i="5"/>
  <c r="AE49" i="5" s="1"/>
  <c r="AO58" i="5"/>
  <c r="AO57" i="5"/>
  <c r="AO56" i="5"/>
  <c r="AO55" i="5"/>
  <c r="AO54" i="5"/>
  <c r="AG59" i="5"/>
  <c r="AC59" i="5"/>
  <c r="AG58" i="5"/>
  <c r="AE58" i="5"/>
  <c r="AC58" i="5"/>
  <c r="AG57" i="5"/>
  <c r="AE57" i="5"/>
  <c r="AC57" i="5"/>
  <c r="AG56" i="5"/>
  <c r="AE56" i="5"/>
  <c r="AC56" i="5"/>
  <c r="AG55" i="5"/>
  <c r="AC55" i="5"/>
  <c r="AG54" i="5"/>
  <c r="AE54" i="5"/>
  <c r="AC54" i="5"/>
  <c r="AG53" i="5"/>
  <c r="AC53" i="5"/>
  <c r="Y59" i="5"/>
  <c r="U59" i="5"/>
  <c r="Y56" i="5"/>
  <c r="U56" i="5"/>
  <c r="U54" i="5"/>
  <c r="Q59" i="5"/>
  <c r="Q58" i="5"/>
  <c r="Q57" i="5"/>
  <c r="Q56" i="5"/>
  <c r="Q55" i="5"/>
  <c r="Q54" i="5"/>
  <c r="Q53" i="5"/>
  <c r="AC52" i="6"/>
  <c r="AD52" i="6" s="1"/>
  <c r="AC51" i="6"/>
  <c r="Q52" i="6"/>
  <c r="Q51" i="6"/>
  <c r="I52" i="6"/>
  <c r="F50" i="5"/>
  <c r="F51" i="5"/>
  <c r="BF83" i="5"/>
  <c r="BJ6" i="5"/>
  <c r="BJ11" i="5"/>
  <c r="BJ12" i="5"/>
  <c r="BJ16" i="5"/>
  <c r="BJ20" i="5"/>
  <c r="BJ23" i="5"/>
  <c r="BJ24" i="5"/>
  <c r="BJ27" i="5"/>
  <c r="AW51" i="5"/>
  <c r="AW50" i="5"/>
  <c r="AO51" i="5"/>
  <c r="AG51" i="5"/>
  <c r="AE51" i="5"/>
  <c r="AC51" i="5"/>
  <c r="AG50" i="5"/>
  <c r="AE50" i="5"/>
  <c r="AC50" i="5"/>
  <c r="Q51" i="5"/>
  <c r="Q50" i="5"/>
  <c r="U51" i="5"/>
  <c r="U50" i="5"/>
  <c r="AC48" i="6"/>
  <c r="AC46" i="6"/>
  <c r="AC45" i="6"/>
  <c r="AD45" i="6" s="1"/>
  <c r="AC44" i="6"/>
  <c r="AD44" i="6" s="1"/>
  <c r="AC43" i="6"/>
  <c r="AC42" i="6"/>
  <c r="AC40" i="6"/>
  <c r="AC38" i="6"/>
  <c r="AC37" i="6"/>
  <c r="AD37" i="6" s="1"/>
  <c r="AC36" i="6"/>
  <c r="AD36" i="6" s="1"/>
  <c r="AC35" i="6"/>
  <c r="AC34" i="6"/>
  <c r="AC32" i="6"/>
  <c r="AC30" i="6"/>
  <c r="Y49" i="6"/>
  <c r="Y48" i="6"/>
  <c r="Y46" i="6"/>
  <c r="Y45" i="6"/>
  <c r="Y44" i="6"/>
  <c r="Y41" i="6"/>
  <c r="Y40" i="6"/>
  <c r="Y38" i="6"/>
  <c r="Y37" i="6"/>
  <c r="Y36" i="6"/>
  <c r="Y33" i="6"/>
  <c r="Y32" i="6"/>
  <c r="Y30" i="6"/>
  <c r="Q48" i="6"/>
  <c r="Q47" i="6"/>
  <c r="Q46" i="6"/>
  <c r="Q44" i="6"/>
  <c r="Q43" i="6"/>
  <c r="Q42" i="6"/>
  <c r="Q40" i="6"/>
  <c r="Q39" i="6"/>
  <c r="Q38" i="6"/>
  <c r="Q36" i="6"/>
  <c r="Q35" i="6"/>
  <c r="Q34" i="6"/>
  <c r="Q32" i="6"/>
  <c r="Q31" i="6"/>
  <c r="Q30" i="6"/>
  <c r="I49" i="6"/>
  <c r="I48" i="6"/>
  <c r="I47" i="6"/>
  <c r="I46" i="6"/>
  <c r="I45" i="6"/>
  <c r="I43" i="6"/>
  <c r="I41" i="6"/>
  <c r="I40" i="6"/>
  <c r="I39" i="6"/>
  <c r="I38" i="6"/>
  <c r="I37" i="6"/>
  <c r="I35" i="6"/>
  <c r="I33" i="6"/>
  <c r="I32" i="6"/>
  <c r="I31" i="6"/>
  <c r="I30" i="6"/>
  <c r="BI48" i="5"/>
  <c r="BO47" i="5"/>
  <c r="BI47" i="5"/>
  <c r="BJ47" i="5"/>
  <c r="BI46" i="5"/>
  <c r="BL45" i="5"/>
  <c r="BI45" i="5"/>
  <c r="BJ45" i="5"/>
  <c r="BI44" i="5"/>
  <c r="BI43" i="5"/>
  <c r="BI42" i="5"/>
  <c r="BI41" i="5"/>
  <c r="BI40" i="5"/>
  <c r="BI39" i="5"/>
  <c r="BL38" i="5"/>
  <c r="BI38" i="5"/>
  <c r="BJ38" i="5"/>
  <c r="BO37" i="5"/>
  <c r="BN37" i="5"/>
  <c r="BL37" i="5"/>
  <c r="BI37" i="5"/>
  <c r="BJ37" i="5"/>
  <c r="BI36" i="5"/>
  <c r="BI35" i="5"/>
  <c r="BL34" i="5"/>
  <c r="BI34" i="5"/>
  <c r="BJ34" i="5"/>
  <c r="BO33" i="5"/>
  <c r="BP33" i="5" s="1"/>
  <c r="BN33" i="5"/>
  <c r="BL33" i="5"/>
  <c r="BI33" i="5"/>
  <c r="BJ33" i="5"/>
  <c r="BL32" i="5"/>
  <c r="BI32" i="5"/>
  <c r="BJ32" i="5"/>
  <c r="BO31" i="5"/>
  <c r="BP31" i="5" s="1"/>
  <c r="BI31" i="5"/>
  <c r="BI30" i="5"/>
  <c r="BO29" i="5"/>
  <c r="BI29" i="5"/>
  <c r="Y48" i="5"/>
  <c r="U48" i="5"/>
  <c r="Y47" i="5"/>
  <c r="W47" i="5"/>
  <c r="U47" i="5"/>
  <c r="Y46" i="5"/>
  <c r="W46" i="5"/>
  <c r="U46" i="5"/>
  <c r="Y45" i="5"/>
  <c r="U45" i="5"/>
  <c r="Y44" i="5"/>
  <c r="W44" i="5"/>
  <c r="U44" i="5"/>
  <c r="U41" i="5"/>
  <c r="Y40" i="5"/>
  <c r="W40" i="5"/>
  <c r="U40" i="5"/>
  <c r="Y38" i="5"/>
  <c r="U38" i="5"/>
  <c r="Y37" i="5"/>
  <c r="W37" i="5"/>
  <c r="U37" i="5"/>
  <c r="Y36" i="5"/>
  <c r="U36" i="5"/>
  <c r="U34" i="5"/>
  <c r="Y33" i="5"/>
  <c r="W33" i="5"/>
  <c r="U33" i="5"/>
  <c r="Y32" i="5"/>
  <c r="W32" i="5"/>
  <c r="U32" i="5"/>
  <c r="Y31" i="5"/>
  <c r="W31" i="5"/>
  <c r="U31" i="5"/>
  <c r="Y30" i="5"/>
  <c r="U30" i="5"/>
  <c r="BE49" i="5"/>
  <c r="BC49" i="5"/>
  <c r="BA49" i="5"/>
  <c r="AY49" i="5"/>
  <c r="BE48" i="5"/>
  <c r="BC48" i="5"/>
  <c r="BA48" i="5"/>
  <c r="AY48" i="5"/>
  <c r="BE47" i="5"/>
  <c r="BC47" i="5"/>
  <c r="BA47" i="5"/>
  <c r="AY47" i="5"/>
  <c r="BE46" i="5"/>
  <c r="BC46" i="5"/>
  <c r="BA46" i="5"/>
  <c r="AY46" i="5"/>
  <c r="BE45" i="5"/>
  <c r="BC45" i="5"/>
  <c r="BA45" i="5"/>
  <c r="AY45" i="5"/>
  <c r="BE44" i="5"/>
  <c r="BC44" i="5"/>
  <c r="BA44" i="5"/>
  <c r="AY44" i="5"/>
  <c r="BE43" i="5"/>
  <c r="BC43" i="5"/>
  <c r="BA43" i="5"/>
  <c r="AY43" i="5"/>
  <c r="BE42" i="5"/>
  <c r="BC42" i="5"/>
  <c r="BA42" i="5"/>
  <c r="AY42" i="5"/>
  <c r="BE41" i="5"/>
  <c r="BC41" i="5"/>
  <c r="BA41" i="5"/>
  <c r="AY41" i="5"/>
  <c r="BE40" i="5"/>
  <c r="BC40" i="5"/>
  <c r="BA40" i="5"/>
  <c r="AY40" i="5"/>
  <c r="BE39" i="5"/>
  <c r="BC39" i="5"/>
  <c r="BA39" i="5"/>
  <c r="AY39" i="5"/>
  <c r="BE38" i="5"/>
  <c r="BC38" i="5"/>
  <c r="BA38" i="5"/>
  <c r="AY38" i="5"/>
  <c r="BE37" i="5"/>
  <c r="BC37" i="5"/>
  <c r="BA37" i="5"/>
  <c r="AY37" i="5"/>
  <c r="BE36" i="5"/>
  <c r="BC36" i="5"/>
  <c r="BA36" i="5"/>
  <c r="AY36" i="5"/>
  <c r="BE35" i="5"/>
  <c r="BC35" i="5"/>
  <c r="BA35" i="5"/>
  <c r="AY35" i="5"/>
  <c r="BE34" i="5"/>
  <c r="BC34" i="5"/>
  <c r="BA34" i="5"/>
  <c r="AY34" i="5"/>
  <c r="BE33" i="5"/>
  <c r="BC33" i="5"/>
  <c r="BA33" i="5"/>
  <c r="AY33" i="5"/>
  <c r="BE32" i="5"/>
  <c r="BC32" i="5"/>
  <c r="BA32" i="5"/>
  <c r="AY32" i="5"/>
  <c r="BE31" i="5"/>
  <c r="BC31" i="5"/>
  <c r="BA31" i="5"/>
  <c r="AY31" i="5"/>
  <c r="BE30" i="5"/>
  <c r="BC30" i="5"/>
  <c r="BA30" i="5"/>
  <c r="AY30" i="5"/>
  <c r="BE29" i="5"/>
  <c r="BC29" i="5"/>
  <c r="BA29" i="5"/>
  <c r="AY29" i="5"/>
  <c r="AW48" i="5"/>
  <c r="AW47" i="5"/>
  <c r="AW46" i="5"/>
  <c r="AW45" i="5"/>
  <c r="AW44" i="5"/>
  <c r="AW43" i="5"/>
  <c r="AW42" i="5"/>
  <c r="AW41" i="5"/>
  <c r="AW40" i="5"/>
  <c r="AW39" i="5"/>
  <c r="AW38" i="5"/>
  <c r="AW37" i="5"/>
  <c r="AW36" i="5"/>
  <c r="AW35" i="5"/>
  <c r="AW34" i="5"/>
  <c r="AW33" i="5"/>
  <c r="AW32" i="5"/>
  <c r="AW31" i="5"/>
  <c r="AW30" i="5"/>
  <c r="AW29" i="5"/>
  <c r="AO48" i="5"/>
  <c r="AO47" i="5"/>
  <c r="AO46" i="5"/>
  <c r="AO45" i="5"/>
  <c r="AO44" i="5"/>
  <c r="AO43" i="5"/>
  <c r="AO42" i="5"/>
  <c r="AO41" i="5"/>
  <c r="AO40" i="5"/>
  <c r="AO39" i="5"/>
  <c r="AO38" i="5"/>
  <c r="AO37" i="5"/>
  <c r="AO36" i="5"/>
  <c r="AO35" i="5"/>
  <c r="AO34" i="5"/>
  <c r="AO33" i="5"/>
  <c r="AO32" i="5"/>
  <c r="AO31" i="5"/>
  <c r="AO30" i="5"/>
  <c r="AO29" i="5"/>
  <c r="AG49" i="5"/>
  <c r="AC49" i="5"/>
  <c r="AG48" i="5"/>
  <c r="AE48" i="5"/>
  <c r="AC48" i="5"/>
  <c r="AG47" i="5"/>
  <c r="AE47" i="5"/>
  <c r="AC47" i="5"/>
  <c r="AG46" i="5"/>
  <c r="AE46" i="5"/>
  <c r="AC46" i="5"/>
  <c r="AG45" i="5"/>
  <c r="AE45" i="5"/>
  <c r="AC45" i="5"/>
  <c r="AG44" i="5"/>
  <c r="AE44" i="5"/>
  <c r="AC44" i="5"/>
  <c r="AG43" i="5"/>
  <c r="AE43" i="5"/>
  <c r="AC43" i="5"/>
  <c r="AG42" i="5"/>
  <c r="AE42" i="5"/>
  <c r="AC42" i="5"/>
  <c r="AG41" i="5"/>
  <c r="AE41" i="5"/>
  <c r="AC41" i="5"/>
  <c r="AG40" i="5"/>
  <c r="AE40" i="5"/>
  <c r="AC40" i="5"/>
  <c r="AG39" i="5"/>
  <c r="AE39" i="5"/>
  <c r="AC39" i="5"/>
  <c r="AG38" i="5"/>
  <c r="AE38" i="5"/>
  <c r="AC38" i="5"/>
  <c r="AG37" i="5"/>
  <c r="AE37" i="5"/>
  <c r="AC37" i="5"/>
  <c r="AG36" i="5"/>
  <c r="AE36" i="5"/>
  <c r="AC36" i="5"/>
  <c r="AG35" i="5"/>
  <c r="AE35" i="5"/>
  <c r="AC35" i="5"/>
  <c r="AG34" i="5"/>
  <c r="AE34" i="5"/>
  <c r="AC34" i="5"/>
  <c r="AG33" i="5"/>
  <c r="AE33" i="5"/>
  <c r="AC33" i="5"/>
  <c r="AG32" i="5"/>
  <c r="AE32" i="5"/>
  <c r="AC32" i="5"/>
  <c r="AG31" i="5"/>
  <c r="AE31" i="5"/>
  <c r="AC31" i="5"/>
  <c r="AG30" i="5"/>
  <c r="AE30" i="5"/>
  <c r="AC30" i="5"/>
  <c r="AG29" i="5"/>
  <c r="AE29" i="5"/>
  <c r="AC29" i="5"/>
  <c r="Q48" i="5"/>
  <c r="Q47" i="5"/>
  <c r="Q46" i="5"/>
  <c r="Q45" i="5"/>
  <c r="Q44" i="5"/>
  <c r="Q42" i="5"/>
  <c r="Q41" i="5"/>
  <c r="Q40" i="5"/>
  <c r="Q39" i="5"/>
  <c r="Q38" i="5"/>
  <c r="Q37" i="5"/>
  <c r="Q36" i="5"/>
  <c r="Q33" i="5"/>
  <c r="Q32" i="5"/>
  <c r="Q31" i="5"/>
  <c r="Q30" i="5"/>
  <c r="Q29" i="5"/>
  <c r="AC27" i="6"/>
  <c r="AC21" i="6"/>
  <c r="AC18" i="6"/>
  <c r="AC17" i="6"/>
  <c r="AC8" i="6"/>
  <c r="AA5" i="6"/>
  <c r="Y84" i="6"/>
  <c r="I84" i="6"/>
  <c r="Q83" i="6"/>
  <c r="I82" i="6"/>
  <c r="Y80" i="6"/>
  <c r="Q80" i="6"/>
  <c r="Q79" i="6"/>
  <c r="Y76" i="6"/>
  <c r="Q76" i="6"/>
  <c r="I76" i="6"/>
  <c r="I74" i="6"/>
  <c r="Y72" i="6"/>
  <c r="Q72" i="6"/>
  <c r="Q71" i="6"/>
  <c r="Y68" i="6"/>
  <c r="Q68" i="6"/>
  <c r="I68" i="6"/>
  <c r="I66" i="6"/>
  <c r="Y64" i="6"/>
  <c r="Q64" i="6"/>
  <c r="Q63" i="6"/>
  <c r="I60" i="6"/>
  <c r="Y59" i="6"/>
  <c r="I57" i="6"/>
  <c r="Y56" i="6"/>
  <c r="I56" i="6"/>
  <c r="Q28" i="6"/>
  <c r="I28" i="6"/>
  <c r="Q27" i="6"/>
  <c r="Y25" i="6"/>
  <c r="Q25" i="6"/>
  <c r="I25" i="6"/>
  <c r="Q22" i="6"/>
  <c r="Q21" i="6"/>
  <c r="I21" i="6"/>
  <c r="Q20" i="6"/>
  <c r="Y19" i="6"/>
  <c r="Q19" i="6"/>
  <c r="Y18" i="6"/>
  <c r="Q18" i="6"/>
  <c r="I18" i="6"/>
  <c r="I17" i="6"/>
  <c r="I16" i="6"/>
  <c r="Y15" i="6"/>
  <c r="Q15" i="6"/>
  <c r="Y14" i="6"/>
  <c r="Q14" i="6"/>
  <c r="I14" i="6"/>
  <c r="Y13" i="6"/>
  <c r="Q13" i="6"/>
  <c r="I13" i="6"/>
  <c r="Y12" i="6"/>
  <c r="Q12" i="6"/>
  <c r="I12" i="6"/>
  <c r="Q11" i="6"/>
  <c r="I11" i="6"/>
  <c r="Q9" i="6"/>
  <c r="Y8" i="6"/>
  <c r="Q8" i="6"/>
  <c r="I8" i="6"/>
  <c r="Q7" i="6"/>
  <c r="Q6" i="6"/>
  <c r="I6" i="6"/>
  <c r="Y5" i="6"/>
  <c r="Q5" i="6"/>
  <c r="I5" i="6"/>
  <c r="BE27" i="5"/>
  <c r="BC27" i="5"/>
  <c r="BA27" i="5"/>
  <c r="AY27" i="5"/>
  <c r="BE26" i="5"/>
  <c r="BC26" i="5"/>
  <c r="BA26" i="5"/>
  <c r="AY26" i="5"/>
  <c r="BE25" i="5"/>
  <c r="BC25" i="5"/>
  <c r="BA25" i="5"/>
  <c r="AY25" i="5"/>
  <c r="BE24" i="5"/>
  <c r="BC24" i="5"/>
  <c r="BA24" i="5"/>
  <c r="AY24" i="5"/>
  <c r="BE23" i="5"/>
  <c r="BC23" i="5"/>
  <c r="BA23" i="5"/>
  <c r="AY23" i="5"/>
  <c r="BE22" i="5"/>
  <c r="BC22" i="5"/>
  <c r="BA22" i="5"/>
  <c r="AY22" i="5"/>
  <c r="BE21" i="5"/>
  <c r="BC21" i="5"/>
  <c r="BA21" i="5"/>
  <c r="AY21" i="5"/>
  <c r="BE20" i="5"/>
  <c r="BC20" i="5"/>
  <c r="BA20" i="5"/>
  <c r="AY20" i="5"/>
  <c r="BE19" i="5"/>
  <c r="BC19" i="5"/>
  <c r="BA19" i="5"/>
  <c r="AY19" i="5"/>
  <c r="BE17" i="5"/>
  <c r="BC17" i="5"/>
  <c r="BA17" i="5"/>
  <c r="AY17" i="5"/>
  <c r="BE16" i="5"/>
  <c r="BC16" i="5"/>
  <c r="BA16" i="5"/>
  <c r="AY16" i="5"/>
  <c r="BE15" i="5"/>
  <c r="BC15" i="5"/>
  <c r="BA15" i="5"/>
  <c r="AY15" i="5"/>
  <c r="BE14" i="5"/>
  <c r="BC14" i="5"/>
  <c r="BA14" i="5"/>
  <c r="AY14" i="5"/>
  <c r="BE13" i="5"/>
  <c r="BC13" i="5"/>
  <c r="BA13" i="5"/>
  <c r="AY13" i="5"/>
  <c r="BE12" i="5"/>
  <c r="BC12" i="5"/>
  <c r="BA12" i="5"/>
  <c r="AY12" i="5"/>
  <c r="BE11" i="5"/>
  <c r="BC11" i="5"/>
  <c r="BA11" i="5"/>
  <c r="AY11" i="5"/>
  <c r="BE10" i="5"/>
  <c r="BC10" i="5"/>
  <c r="BA10" i="5"/>
  <c r="AY10" i="5"/>
  <c r="BE9" i="5"/>
  <c r="BC9" i="5"/>
  <c r="BA9" i="5"/>
  <c r="AY9" i="5"/>
  <c r="BE8" i="5"/>
  <c r="BC8" i="5"/>
  <c r="BA8" i="5"/>
  <c r="AY8" i="5"/>
  <c r="BE7" i="5"/>
  <c r="BC7" i="5"/>
  <c r="BA7" i="5"/>
  <c r="AY7" i="5"/>
  <c r="BE6" i="5"/>
  <c r="BC6" i="5"/>
  <c r="BA6" i="5"/>
  <c r="AY6" i="5"/>
  <c r="BE5" i="5"/>
  <c r="BC5" i="5"/>
  <c r="BA5" i="5"/>
  <c r="AY5" i="5"/>
  <c r="AG19" i="5"/>
  <c r="AE19" i="5"/>
  <c r="AC19" i="5"/>
  <c r="AW27" i="5"/>
  <c r="AW26" i="5"/>
  <c r="AW25" i="5"/>
  <c r="AW24" i="5"/>
  <c r="AW23" i="5"/>
  <c r="AW22" i="5"/>
  <c r="AW21" i="5"/>
  <c r="AW20" i="5"/>
  <c r="AW19" i="5"/>
  <c r="AW17" i="5"/>
  <c r="AW16" i="5"/>
  <c r="AW15" i="5"/>
  <c r="AW14" i="5"/>
  <c r="AW13" i="5"/>
  <c r="AW12" i="5"/>
  <c r="AW11" i="5"/>
  <c r="AW9" i="5"/>
  <c r="AW8" i="5"/>
  <c r="AW7" i="5"/>
  <c r="AW6" i="5"/>
  <c r="AW5" i="5"/>
  <c r="AO27" i="5"/>
  <c r="AO26" i="5"/>
  <c r="AO25" i="5"/>
  <c r="AO24" i="5"/>
  <c r="AO23" i="5"/>
  <c r="AO22" i="5"/>
  <c r="AO20" i="5"/>
  <c r="AO17" i="5"/>
  <c r="AO16" i="5"/>
  <c r="AO15" i="5"/>
  <c r="AO14" i="5"/>
  <c r="AO13" i="5"/>
  <c r="AO12" i="5"/>
  <c r="AO11" i="5"/>
  <c r="AO9" i="5"/>
  <c r="AO8" i="5"/>
  <c r="AO7" i="5"/>
  <c r="AO6" i="5"/>
  <c r="AO5" i="5"/>
  <c r="X18" i="5"/>
  <c r="X10" i="5"/>
  <c r="Y27" i="5"/>
  <c r="U25" i="5"/>
  <c r="Y24" i="5"/>
  <c r="U24" i="5"/>
  <c r="Y23" i="5"/>
  <c r="W23" i="5"/>
  <c r="U23" i="5"/>
  <c r="Y22" i="5"/>
  <c r="W22" i="5"/>
  <c r="U22" i="5"/>
  <c r="Y21" i="5"/>
  <c r="U21" i="5"/>
  <c r="Y20" i="5"/>
  <c r="U20" i="5"/>
  <c r="Y19" i="5"/>
  <c r="W19" i="5"/>
  <c r="U19" i="5"/>
  <c r="U17" i="5"/>
  <c r="Y16" i="5"/>
  <c r="W16" i="5"/>
  <c r="U16" i="5"/>
  <c r="Y15" i="5"/>
  <c r="W15" i="5"/>
  <c r="U15" i="5"/>
  <c r="Y13" i="5"/>
  <c r="W13" i="5"/>
  <c r="U13" i="5"/>
  <c r="Y12" i="5"/>
  <c r="W12" i="5"/>
  <c r="U12" i="5"/>
  <c r="Y11" i="5"/>
  <c r="U11" i="5"/>
  <c r="Y9" i="5"/>
  <c r="W9" i="5"/>
  <c r="U9" i="5"/>
  <c r="U8" i="5"/>
  <c r="Y7" i="5"/>
  <c r="W7" i="5"/>
  <c r="U7" i="5"/>
  <c r="Y6" i="5"/>
  <c r="W6" i="5"/>
  <c r="U6" i="5"/>
  <c r="Q27" i="5"/>
  <c r="Q26" i="5"/>
  <c r="Q25" i="5"/>
  <c r="Q24" i="5"/>
  <c r="Q23" i="5"/>
  <c r="Q22" i="5"/>
  <c r="Q21" i="5"/>
  <c r="Q20" i="5"/>
  <c r="Q19" i="5"/>
  <c r="Q17" i="5"/>
  <c r="Q16" i="5"/>
  <c r="Q15" i="5"/>
  <c r="Q13" i="5"/>
  <c r="Q12" i="5"/>
  <c r="Q11" i="5"/>
  <c r="Q9" i="5"/>
  <c r="Q8" i="5"/>
  <c r="Q7" i="5"/>
  <c r="Q6" i="5"/>
  <c r="I5" i="5"/>
  <c r="F5" i="5"/>
  <c r="G5" i="5"/>
  <c r="E5" i="5"/>
  <c r="F107" i="1"/>
  <c r="F81" i="1"/>
  <c r="F82" i="1"/>
  <c r="I82" i="1" s="1"/>
  <c r="E83" i="1"/>
  <c r="B84" i="1"/>
  <c r="B83" i="1" s="1"/>
  <c r="D83" i="1"/>
  <c r="F89" i="1"/>
  <c r="I89" i="1"/>
  <c r="F90" i="1"/>
  <c r="I90" i="1" s="1"/>
  <c r="F116" i="1"/>
  <c r="I116" i="1" s="1"/>
  <c r="F119" i="1"/>
  <c r="I119" i="1" s="1"/>
  <c r="F120" i="1"/>
  <c r="I120" i="1" s="1"/>
  <c r="F118" i="1"/>
  <c r="F125" i="1"/>
  <c r="F123" i="1"/>
  <c r="I123" i="1" s="1"/>
  <c r="F121" i="1"/>
  <c r="I121" i="1" s="1"/>
  <c r="F124" i="1"/>
  <c r="I124" i="1" s="1"/>
  <c r="F102" i="1"/>
  <c r="I102" i="1" s="1"/>
  <c r="F100" i="1"/>
  <c r="I100" i="1" s="1"/>
  <c r="F101" i="1"/>
  <c r="I101" i="1" s="1"/>
  <c r="F111" i="1"/>
  <c r="I111" i="1" s="1"/>
  <c r="B110" i="1"/>
  <c r="B113" i="1"/>
  <c r="F113" i="1" s="1"/>
  <c r="I113" i="1" s="1"/>
  <c r="F104" i="1"/>
  <c r="I104" i="1" s="1"/>
  <c r="F103" i="1"/>
  <c r="I103" i="1"/>
  <c r="F105" i="1"/>
  <c r="F106" i="1"/>
  <c r="I106" i="1"/>
  <c r="F108" i="1"/>
  <c r="F112" i="1"/>
  <c r="I112" i="1" s="1"/>
  <c r="F114" i="1"/>
  <c r="I114" i="1" s="1"/>
  <c r="F127" i="1"/>
  <c r="D50" i="8"/>
  <c r="D64" i="8"/>
  <c r="C99" i="2"/>
  <c r="C98" i="2"/>
  <c r="C97" i="2"/>
  <c r="C96" i="2"/>
  <c r="C95" i="2"/>
  <c r="C94" i="2"/>
  <c r="B76" i="2"/>
  <c r="B77" i="2"/>
  <c r="B78" i="2"/>
  <c r="B81" i="2"/>
  <c r="B84" i="2"/>
  <c r="C85" i="2"/>
  <c r="C86" i="2"/>
  <c r="C82" i="2"/>
  <c r="C80" i="2"/>
  <c r="C79" i="2"/>
  <c r="E73" i="2"/>
  <c r="C73" i="2"/>
  <c r="E72" i="2"/>
  <c r="C72" i="2"/>
  <c r="E71" i="2"/>
  <c r="C71" i="2"/>
  <c r="D70" i="2"/>
  <c r="E70" i="2"/>
  <c r="C70" i="2"/>
  <c r="F59" i="5"/>
  <c r="G59" i="5"/>
  <c r="D101" i="8"/>
  <c r="D99" i="8"/>
  <c r="D98" i="8"/>
  <c r="B7" i="1"/>
  <c r="B25" i="1"/>
  <c r="B42" i="1"/>
  <c r="E79" i="1"/>
  <c r="E109" i="1"/>
  <c r="E99" i="1"/>
  <c r="E117" i="1"/>
  <c r="E115" i="1" s="1"/>
  <c r="D109" i="1"/>
  <c r="D99" i="1" s="1"/>
  <c r="D117" i="1"/>
  <c r="D115" i="1" s="1"/>
  <c r="B79" i="1"/>
  <c r="B117" i="1"/>
  <c r="B115" i="1" s="1"/>
  <c r="I127" i="1"/>
  <c r="I108" i="1"/>
  <c r="I105" i="1"/>
  <c r="F98" i="1"/>
  <c r="F97" i="1"/>
  <c r="I97" i="1" s="1"/>
  <c r="F95" i="1"/>
  <c r="E91" i="1"/>
  <c r="D91" i="1"/>
  <c r="C91" i="1"/>
  <c r="B91" i="1"/>
  <c r="F88" i="1"/>
  <c r="I88" i="1" s="1"/>
  <c r="F86" i="1"/>
  <c r="I86" i="1" s="1"/>
  <c r="F85" i="1"/>
  <c r="I85" i="1"/>
  <c r="F84" i="1"/>
  <c r="I84" i="1" s="1"/>
  <c r="E7" i="1"/>
  <c r="E25" i="1"/>
  <c r="E42" i="1"/>
  <c r="E49" i="1"/>
  <c r="D7" i="1"/>
  <c r="D25" i="1"/>
  <c r="D42" i="1"/>
  <c r="D49" i="1"/>
  <c r="C7" i="1"/>
  <c r="I65" i="1"/>
  <c r="I64" i="1"/>
  <c r="I63" i="1"/>
  <c r="I62" i="1"/>
  <c r="I61" i="1"/>
  <c r="I60" i="1"/>
  <c r="I57" i="1"/>
  <c r="I55" i="1"/>
  <c r="I48" i="1"/>
  <c r="I47" i="1"/>
  <c r="I46" i="1"/>
  <c r="I45" i="1"/>
  <c r="I41" i="1"/>
  <c r="I36" i="1"/>
  <c r="I35" i="1"/>
  <c r="I34" i="1"/>
  <c r="I30" i="1"/>
  <c r="I24" i="1"/>
  <c r="I19" i="1"/>
  <c r="I18" i="1"/>
  <c r="I17" i="1"/>
  <c r="I14" i="1"/>
  <c r="I13" i="1"/>
  <c r="I12" i="1"/>
  <c r="I9" i="1"/>
  <c r="E90" i="8"/>
  <c r="E124" i="8" s="1"/>
  <c r="D119" i="8"/>
  <c r="D118" i="8"/>
  <c r="D117" i="8"/>
  <c r="D112" i="8"/>
  <c r="D111" i="8"/>
  <c r="D110" i="8"/>
  <c r="D107" i="8"/>
  <c r="D106" i="8"/>
  <c r="D105" i="8"/>
  <c r="D104" i="8"/>
  <c r="D103" i="8"/>
  <c r="D85" i="8"/>
  <c r="D83" i="8"/>
  <c r="E82" i="8"/>
  <c r="D81" i="8"/>
  <c r="D80" i="8"/>
  <c r="D79" i="8"/>
  <c r="H65" i="8"/>
  <c r="D65" i="8"/>
  <c r="D63" i="8"/>
  <c r="D61" i="8"/>
  <c r="D59" i="8"/>
  <c r="D56" i="8"/>
  <c r="D55" i="8"/>
  <c r="D54" i="8"/>
  <c r="D53" i="8"/>
  <c r="D51" i="8"/>
  <c r="D49" i="8"/>
  <c r="D47" i="8"/>
  <c r="D46" i="8"/>
  <c r="D45" i="8"/>
  <c r="D44" i="8"/>
  <c r="D42" i="8"/>
  <c r="D38" i="8"/>
  <c r="D37" i="8"/>
  <c r="D36" i="8"/>
  <c r="D35" i="8"/>
  <c r="D34" i="8"/>
  <c r="D33" i="8"/>
  <c r="D32" i="8"/>
  <c r="D31" i="8"/>
  <c r="D30" i="8"/>
  <c r="D28" i="8"/>
  <c r="D26" i="8"/>
  <c r="D25" i="8"/>
  <c r="D24" i="8"/>
  <c r="D23" i="8"/>
  <c r="D22" i="8"/>
  <c r="D16" i="8"/>
  <c r="D15" i="8"/>
  <c r="D14" i="8"/>
  <c r="E13" i="8"/>
  <c r="D12" i="8"/>
  <c r="D11" i="8"/>
  <c r="D10" i="8"/>
  <c r="F6" i="5"/>
  <c r="F7" i="5"/>
  <c r="F9" i="5"/>
  <c r="F11" i="5"/>
  <c r="F12" i="5"/>
  <c r="G12" i="5" s="1"/>
  <c r="F13" i="5"/>
  <c r="F14" i="5"/>
  <c r="F15" i="5"/>
  <c r="F16" i="5"/>
  <c r="F19" i="5"/>
  <c r="F20" i="5"/>
  <c r="F21" i="5"/>
  <c r="G21" i="5" s="1"/>
  <c r="F22" i="5"/>
  <c r="F23" i="5"/>
  <c r="F24" i="5"/>
  <c r="F26" i="5"/>
  <c r="F27" i="5"/>
  <c r="F29" i="5"/>
  <c r="G29" i="5" s="1"/>
  <c r="F30" i="5"/>
  <c r="G30" i="5" s="1"/>
  <c r="F31" i="5"/>
  <c r="F32" i="5"/>
  <c r="F33" i="5"/>
  <c r="F34" i="5"/>
  <c r="F35" i="5"/>
  <c r="F36" i="5"/>
  <c r="F37" i="5"/>
  <c r="G37" i="5" s="1"/>
  <c r="F38" i="5"/>
  <c r="G38" i="5" s="1"/>
  <c r="F39" i="5"/>
  <c r="F40" i="5"/>
  <c r="F41" i="5"/>
  <c r="F42" i="5"/>
  <c r="F43" i="5"/>
  <c r="F44" i="5"/>
  <c r="F45" i="5"/>
  <c r="F46" i="5"/>
  <c r="G46" i="5" s="1"/>
  <c r="F47" i="5"/>
  <c r="F48" i="5"/>
  <c r="BK61" i="5"/>
  <c r="BM61" i="5"/>
  <c r="BO61" i="5"/>
  <c r="BK62" i="5"/>
  <c r="BK63" i="5"/>
  <c r="BL63" i="5" s="1"/>
  <c r="BK64" i="5"/>
  <c r="BO64" i="5"/>
  <c r="BP64" i="5" s="1"/>
  <c r="BM64" i="5"/>
  <c r="BK66" i="5"/>
  <c r="BK67" i="5"/>
  <c r="BO67" i="5" s="1"/>
  <c r="BP67" i="5" s="1"/>
  <c r="BM67" i="5"/>
  <c r="BK68" i="5"/>
  <c r="BK69" i="5"/>
  <c r="BK70" i="5"/>
  <c r="BK71" i="5"/>
  <c r="BK72" i="5"/>
  <c r="BK74" i="5"/>
  <c r="BK75" i="5"/>
  <c r="BO75" i="5" s="1"/>
  <c r="BP75" i="5" s="1"/>
  <c r="BM75" i="5"/>
  <c r="BK76" i="5"/>
  <c r="BK77" i="5"/>
  <c r="BM77" i="5"/>
  <c r="BO77" i="5"/>
  <c r="BK78" i="5"/>
  <c r="BL78" i="5" s="1"/>
  <c r="BK79" i="5"/>
  <c r="BO79" i="5" s="1"/>
  <c r="BP79" i="5" s="1"/>
  <c r="BM79" i="5"/>
  <c r="BK80" i="5"/>
  <c r="BL80" i="5" s="1"/>
  <c r="BK81" i="5"/>
  <c r="BK82" i="5"/>
  <c r="BM82" i="5"/>
  <c r="BN82" i="5" s="1"/>
  <c r="BI60" i="5"/>
  <c r="BI61" i="5"/>
  <c r="BJ61" i="5"/>
  <c r="BI62" i="5"/>
  <c r="BI63" i="5"/>
  <c r="BJ63" i="5"/>
  <c r="BI64" i="5"/>
  <c r="BJ64" i="5"/>
  <c r="BI65" i="5"/>
  <c r="BJ65" i="5"/>
  <c r="BI66" i="5"/>
  <c r="BJ66" i="5" s="1"/>
  <c r="BI67" i="5"/>
  <c r="BJ67" i="5" s="1"/>
  <c r="BI68" i="5"/>
  <c r="BI69" i="5"/>
  <c r="BJ69" i="5"/>
  <c r="BI70" i="5"/>
  <c r="BI71" i="5"/>
  <c r="BJ71" i="5" s="1"/>
  <c r="BI72" i="5"/>
  <c r="BJ72" i="5"/>
  <c r="BI73" i="5"/>
  <c r="BJ73" i="5"/>
  <c r="BI74" i="5"/>
  <c r="BJ74" i="5" s="1"/>
  <c r="BI75" i="5"/>
  <c r="BJ75" i="5"/>
  <c r="BI76" i="5"/>
  <c r="BI77" i="5"/>
  <c r="BJ77" i="5"/>
  <c r="BI78" i="5"/>
  <c r="BI79" i="5"/>
  <c r="BJ79" i="5"/>
  <c r="BI80" i="5"/>
  <c r="BJ80" i="5"/>
  <c r="BI81" i="5"/>
  <c r="BJ81" i="5"/>
  <c r="BE84" i="5"/>
  <c r="BC84" i="5"/>
  <c r="BA84" i="5"/>
  <c r="AY84" i="5"/>
  <c r="AV83" i="5"/>
  <c r="AR83" i="5"/>
  <c r="AS83" i="5" s="1"/>
  <c r="BE83" i="5"/>
  <c r="BC83" i="5"/>
  <c r="BA83" i="5"/>
  <c r="AY83" i="5"/>
  <c r="AW83" i="5"/>
  <c r="AU83" i="5"/>
  <c r="AG83" i="5"/>
  <c r="AE83" i="5"/>
  <c r="AC83" i="5"/>
  <c r="BL82" i="5"/>
  <c r="BE82" i="5"/>
  <c r="BC82" i="5"/>
  <c r="BA82" i="5"/>
  <c r="AY82" i="5"/>
  <c r="AW82" i="5"/>
  <c r="AU82" i="5"/>
  <c r="AS82" i="5"/>
  <c r="AO82" i="5"/>
  <c r="AG82" i="5"/>
  <c r="AE82" i="5"/>
  <c r="AC82" i="5"/>
  <c r="I82" i="5"/>
  <c r="G82" i="5"/>
  <c r="E82" i="5"/>
  <c r="BE81" i="5"/>
  <c r="BC81" i="5"/>
  <c r="BA81" i="5"/>
  <c r="AY81" i="5"/>
  <c r="AW81" i="5"/>
  <c r="AU81" i="5"/>
  <c r="AS81" i="5"/>
  <c r="AO81" i="5"/>
  <c r="AG81" i="5"/>
  <c r="AE81" i="5"/>
  <c r="AC81" i="5"/>
  <c r="I81" i="5"/>
  <c r="E81" i="5"/>
  <c r="BE80" i="5"/>
  <c r="BC80" i="5"/>
  <c r="BA80" i="5"/>
  <c r="AY80" i="5"/>
  <c r="AW80" i="5"/>
  <c r="AU80" i="5"/>
  <c r="AS80" i="5"/>
  <c r="AO80" i="5"/>
  <c r="AG80" i="5"/>
  <c r="AE80" i="5"/>
  <c r="AC80" i="5"/>
  <c r="I80" i="5"/>
  <c r="G80" i="5"/>
  <c r="E80" i="5"/>
  <c r="BN79" i="5"/>
  <c r="BL79" i="5"/>
  <c r="BE79" i="5"/>
  <c r="BC79" i="5"/>
  <c r="BA79" i="5"/>
  <c r="AY79" i="5"/>
  <c r="AW79" i="5"/>
  <c r="AU79" i="5"/>
  <c r="AS79" i="5"/>
  <c r="AO79" i="5"/>
  <c r="AG79" i="5"/>
  <c r="AE79" i="5"/>
  <c r="AC79" i="5"/>
  <c r="I79" i="5"/>
  <c r="G79" i="5"/>
  <c r="E79" i="5"/>
  <c r="BE78" i="5"/>
  <c r="BC78" i="5"/>
  <c r="BA78" i="5"/>
  <c r="AY78" i="5"/>
  <c r="AW78" i="5"/>
  <c r="AU78" i="5"/>
  <c r="AS78" i="5"/>
  <c r="AO78" i="5"/>
  <c r="AG78" i="5"/>
  <c r="AE78" i="5"/>
  <c r="AC78" i="5"/>
  <c r="I78" i="5"/>
  <c r="E78" i="5"/>
  <c r="BP77" i="5"/>
  <c r="BN77" i="5"/>
  <c r="BL77" i="5"/>
  <c r="BE77" i="5"/>
  <c r="BC77" i="5"/>
  <c r="BA77" i="5"/>
  <c r="AY77" i="5"/>
  <c r="AW77" i="5"/>
  <c r="AU77" i="5"/>
  <c r="AS77" i="5"/>
  <c r="AO77" i="5"/>
  <c r="AG77" i="5"/>
  <c r="AE77" i="5"/>
  <c r="AC77" i="5"/>
  <c r="I77" i="5"/>
  <c r="G77" i="5"/>
  <c r="E77" i="5"/>
  <c r="BE76" i="5"/>
  <c r="BC76" i="5"/>
  <c r="BA76" i="5"/>
  <c r="AY76" i="5"/>
  <c r="AW76" i="5"/>
  <c r="AU76" i="5"/>
  <c r="AS76" i="5"/>
  <c r="AG76" i="5"/>
  <c r="AE76" i="5"/>
  <c r="AC76" i="5"/>
  <c r="I76" i="5"/>
  <c r="E76" i="5"/>
  <c r="BN75" i="5"/>
  <c r="BE75" i="5"/>
  <c r="BC75" i="5"/>
  <c r="BA75" i="5"/>
  <c r="AY75" i="5"/>
  <c r="AW75" i="5"/>
  <c r="AU75" i="5"/>
  <c r="AS75" i="5"/>
  <c r="AO75" i="5"/>
  <c r="AG75" i="5"/>
  <c r="AE75" i="5"/>
  <c r="AC75" i="5"/>
  <c r="I75" i="5"/>
  <c r="G75" i="5"/>
  <c r="E75" i="5"/>
  <c r="BL74" i="5"/>
  <c r="BE74" i="5"/>
  <c r="BC74" i="5"/>
  <c r="BA74" i="5"/>
  <c r="AY74" i="5"/>
  <c r="AW74" i="5"/>
  <c r="AU74" i="5"/>
  <c r="AS74" i="5"/>
  <c r="AO74" i="5"/>
  <c r="AG74" i="5"/>
  <c r="AE74" i="5"/>
  <c r="AC74" i="5"/>
  <c r="I74" i="5"/>
  <c r="E74" i="5"/>
  <c r="BE73" i="5"/>
  <c r="BC73" i="5"/>
  <c r="BA73" i="5"/>
  <c r="AY73" i="5"/>
  <c r="AW73" i="5"/>
  <c r="AU73" i="5"/>
  <c r="AS73" i="5"/>
  <c r="AO73" i="5"/>
  <c r="AG73" i="5"/>
  <c r="AE73" i="5"/>
  <c r="AC73" i="5"/>
  <c r="I73" i="5"/>
  <c r="G73" i="5"/>
  <c r="E73" i="5"/>
  <c r="BL72" i="5"/>
  <c r="BE72" i="5"/>
  <c r="BC72" i="5"/>
  <c r="BA72" i="5"/>
  <c r="AY72" i="5"/>
  <c r="AW72" i="5"/>
  <c r="AU72" i="5"/>
  <c r="AS72" i="5"/>
  <c r="AO72" i="5"/>
  <c r="AG72" i="5"/>
  <c r="AE72" i="5"/>
  <c r="AC72" i="5"/>
  <c r="I72" i="5"/>
  <c r="E72" i="5"/>
  <c r="BL71" i="5"/>
  <c r="BE71" i="5"/>
  <c r="BC71" i="5"/>
  <c r="BA71" i="5"/>
  <c r="AY71" i="5"/>
  <c r="AW71" i="5"/>
  <c r="AU71" i="5"/>
  <c r="AS71" i="5"/>
  <c r="AO71" i="5"/>
  <c r="AG71" i="5"/>
  <c r="AE71" i="5"/>
  <c r="AC71" i="5"/>
  <c r="I71" i="5"/>
  <c r="E71" i="5"/>
  <c r="BL70" i="5"/>
  <c r="BE70" i="5"/>
  <c r="BC70" i="5"/>
  <c r="BA70" i="5"/>
  <c r="AY70" i="5"/>
  <c r="AW70" i="5"/>
  <c r="AU70" i="5"/>
  <c r="AS70" i="5"/>
  <c r="AO70" i="5"/>
  <c r="AG70" i="5"/>
  <c r="AE70" i="5"/>
  <c r="AC70" i="5"/>
  <c r="I70" i="5"/>
  <c r="E70" i="5"/>
  <c r="BL69" i="5"/>
  <c r="BE69" i="5"/>
  <c r="BC69" i="5"/>
  <c r="BA69" i="5"/>
  <c r="AY69" i="5"/>
  <c r="AW69" i="5"/>
  <c r="AU69" i="5"/>
  <c r="AS69" i="5"/>
  <c r="AO69" i="5"/>
  <c r="AG69" i="5"/>
  <c r="AE69" i="5"/>
  <c r="AC69" i="5"/>
  <c r="I69" i="5"/>
  <c r="E69" i="5"/>
  <c r="BE68" i="5"/>
  <c r="BC68" i="5"/>
  <c r="BA68" i="5"/>
  <c r="AY68" i="5"/>
  <c r="AW68" i="5"/>
  <c r="AU68" i="5"/>
  <c r="AS68" i="5"/>
  <c r="AG68" i="5"/>
  <c r="AE68" i="5"/>
  <c r="AC68" i="5"/>
  <c r="I68" i="5"/>
  <c r="E68" i="5"/>
  <c r="BN67" i="5"/>
  <c r="BL67" i="5"/>
  <c r="BE67" i="5"/>
  <c r="BC67" i="5"/>
  <c r="BA67" i="5"/>
  <c r="AY67" i="5"/>
  <c r="AW67" i="5"/>
  <c r="AU67" i="5"/>
  <c r="AS67" i="5"/>
  <c r="AO67" i="5"/>
  <c r="AG67" i="5"/>
  <c r="AE67" i="5"/>
  <c r="AC67" i="5"/>
  <c r="I67" i="5"/>
  <c r="G67" i="5"/>
  <c r="E67" i="5"/>
  <c r="BL66" i="5"/>
  <c r="BE66" i="5"/>
  <c r="BC66" i="5"/>
  <c r="BA66" i="5"/>
  <c r="AY66" i="5"/>
  <c r="AW66" i="5"/>
  <c r="AU66" i="5"/>
  <c r="AS66" i="5"/>
  <c r="AO66" i="5"/>
  <c r="AG66" i="5"/>
  <c r="AE66" i="5"/>
  <c r="AC66" i="5"/>
  <c r="I66" i="5"/>
  <c r="E66" i="5"/>
  <c r="BE65" i="5"/>
  <c r="BC65" i="5"/>
  <c r="BA65" i="5"/>
  <c r="AY65" i="5"/>
  <c r="AW65" i="5"/>
  <c r="AU65" i="5"/>
  <c r="AS65" i="5"/>
  <c r="AO65" i="5"/>
  <c r="AG65" i="5"/>
  <c r="AE65" i="5"/>
  <c r="AC65" i="5"/>
  <c r="I65" i="5"/>
  <c r="G65" i="5"/>
  <c r="E65" i="5"/>
  <c r="BN64" i="5"/>
  <c r="BL64" i="5"/>
  <c r="BE64" i="5"/>
  <c r="BC64" i="5"/>
  <c r="BA64" i="5"/>
  <c r="AY64" i="5"/>
  <c r="AW64" i="5"/>
  <c r="AU64" i="5"/>
  <c r="AS64" i="5"/>
  <c r="AO64" i="5"/>
  <c r="AG64" i="5"/>
  <c r="AE64" i="5"/>
  <c r="AC64" i="5"/>
  <c r="I64" i="5"/>
  <c r="G64" i="5"/>
  <c r="E64" i="5"/>
  <c r="BE63" i="5"/>
  <c r="BC63" i="5"/>
  <c r="BA63" i="5"/>
  <c r="AY63" i="5"/>
  <c r="AW63" i="5"/>
  <c r="AU63" i="5"/>
  <c r="AS63" i="5"/>
  <c r="AO63" i="5"/>
  <c r="AG63" i="5"/>
  <c r="AE63" i="5"/>
  <c r="AC63" i="5"/>
  <c r="I63" i="5"/>
  <c r="G63" i="5"/>
  <c r="E63" i="5"/>
  <c r="BE62" i="5"/>
  <c r="BC62" i="5"/>
  <c r="BA62" i="5"/>
  <c r="AY62" i="5"/>
  <c r="AW62" i="5"/>
  <c r="AU62" i="5"/>
  <c r="AS62" i="5"/>
  <c r="AG62" i="5"/>
  <c r="AE62" i="5"/>
  <c r="AC62" i="5"/>
  <c r="I62" i="5"/>
  <c r="E62" i="5"/>
  <c r="BP61" i="5"/>
  <c r="BN61" i="5"/>
  <c r="BL61" i="5"/>
  <c r="BE61" i="5"/>
  <c r="BC61" i="5"/>
  <c r="BA61" i="5"/>
  <c r="AY61" i="5"/>
  <c r="AW61" i="5"/>
  <c r="AU61" i="5"/>
  <c r="AS61" i="5"/>
  <c r="AO61" i="5"/>
  <c r="AG61" i="5"/>
  <c r="AE61" i="5"/>
  <c r="AC61" i="5"/>
  <c r="I61" i="5"/>
  <c r="G61" i="5"/>
  <c r="E61" i="5"/>
  <c r="BE60" i="5"/>
  <c r="BC60" i="5"/>
  <c r="BA60" i="5"/>
  <c r="AY60" i="5"/>
  <c r="AW60" i="5"/>
  <c r="AU60" i="5"/>
  <c r="AS60" i="5"/>
  <c r="F53" i="5"/>
  <c r="F54" i="5"/>
  <c r="G54" i="5" s="1"/>
  <c r="F55" i="5"/>
  <c r="G55" i="5" s="1"/>
  <c r="F56" i="5"/>
  <c r="F57" i="5"/>
  <c r="G57" i="5" s="1"/>
  <c r="F58" i="5"/>
  <c r="G58" i="5" s="1"/>
  <c r="BI53" i="5"/>
  <c r="BI54" i="5"/>
  <c r="BJ54" i="5"/>
  <c r="BI55" i="5"/>
  <c r="BI56" i="5"/>
  <c r="BJ56" i="5"/>
  <c r="BI57" i="5"/>
  <c r="BI58" i="5"/>
  <c r="BE59" i="5"/>
  <c r="BC59" i="5"/>
  <c r="BA59" i="5"/>
  <c r="AY59" i="5"/>
  <c r="AW59" i="5"/>
  <c r="AU59" i="5"/>
  <c r="AS59" i="5"/>
  <c r="I59" i="5"/>
  <c r="E59" i="5"/>
  <c r="BE58" i="5"/>
  <c r="BC58" i="5"/>
  <c r="BA58" i="5"/>
  <c r="AY58" i="5"/>
  <c r="AW58" i="5"/>
  <c r="AU58" i="5"/>
  <c r="AS58" i="5"/>
  <c r="I58" i="5"/>
  <c r="BE57" i="5"/>
  <c r="BC57" i="5"/>
  <c r="BA57" i="5"/>
  <c r="AY57" i="5"/>
  <c r="AW57" i="5"/>
  <c r="AU57" i="5"/>
  <c r="AS57" i="5"/>
  <c r="I57" i="5"/>
  <c r="E57" i="5"/>
  <c r="BE56" i="5"/>
  <c r="BC56" i="5"/>
  <c r="BA56" i="5"/>
  <c r="AY56" i="5"/>
  <c r="AW56" i="5"/>
  <c r="AU56" i="5"/>
  <c r="AS56" i="5"/>
  <c r="I56" i="5"/>
  <c r="G56" i="5"/>
  <c r="E56" i="5"/>
  <c r="BE55" i="5"/>
  <c r="BC55" i="5"/>
  <c r="BA55" i="5"/>
  <c r="AY55" i="5"/>
  <c r="AW55" i="5"/>
  <c r="AU55" i="5"/>
  <c r="AS55" i="5"/>
  <c r="I55" i="5"/>
  <c r="E55" i="5"/>
  <c r="BE54" i="5"/>
  <c r="BC54" i="5"/>
  <c r="BA54" i="5"/>
  <c r="AY54" i="5"/>
  <c r="AW54" i="5"/>
  <c r="AU54" i="5"/>
  <c r="AS54" i="5"/>
  <c r="I54" i="5"/>
  <c r="E54" i="5"/>
  <c r="BE53" i="5"/>
  <c r="BC53" i="5"/>
  <c r="BA53" i="5"/>
  <c r="AY53" i="5"/>
  <c r="AW53" i="5"/>
  <c r="AU53" i="5"/>
  <c r="AS53" i="5"/>
  <c r="I53" i="5"/>
  <c r="G53" i="5"/>
  <c r="E53" i="5"/>
  <c r="BJ51" i="5"/>
  <c r="BI51" i="5"/>
  <c r="BB28" i="5"/>
  <c r="AD28" i="5"/>
  <c r="AE28" i="5"/>
  <c r="BE51" i="5"/>
  <c r="BC51" i="5"/>
  <c r="BA51" i="5"/>
  <c r="AY51" i="5"/>
  <c r="I51" i="5"/>
  <c r="G51" i="5"/>
  <c r="E51" i="5"/>
  <c r="BE50" i="5"/>
  <c r="BC50" i="5"/>
  <c r="BA50" i="5"/>
  <c r="AY50" i="5"/>
  <c r="I50" i="5"/>
  <c r="G50" i="5"/>
  <c r="E50" i="5"/>
  <c r="I48" i="5"/>
  <c r="G48" i="5"/>
  <c r="E48" i="5"/>
  <c r="I47" i="5"/>
  <c r="G47" i="5"/>
  <c r="E47" i="5"/>
  <c r="I46" i="5"/>
  <c r="E46" i="5"/>
  <c r="I45" i="5"/>
  <c r="G45" i="5"/>
  <c r="E45" i="5"/>
  <c r="I44" i="5"/>
  <c r="G44" i="5"/>
  <c r="E44" i="5"/>
  <c r="I43" i="5"/>
  <c r="G43" i="5"/>
  <c r="E43" i="5"/>
  <c r="I42" i="5"/>
  <c r="G42" i="5"/>
  <c r="E42" i="5"/>
  <c r="I41" i="5"/>
  <c r="G41" i="5"/>
  <c r="E41" i="5"/>
  <c r="I40" i="5"/>
  <c r="G40" i="5"/>
  <c r="E40" i="5"/>
  <c r="I39" i="5"/>
  <c r="G39" i="5"/>
  <c r="E39" i="5"/>
  <c r="I38" i="5"/>
  <c r="E38" i="5"/>
  <c r="BP37" i="5"/>
  <c r="I37" i="5"/>
  <c r="E37" i="5"/>
  <c r="I36" i="5"/>
  <c r="G36" i="5"/>
  <c r="E36" i="5"/>
  <c r="I35" i="5"/>
  <c r="G35" i="5"/>
  <c r="E35" i="5"/>
  <c r="I34" i="5"/>
  <c r="G34" i="5"/>
  <c r="E34" i="5"/>
  <c r="I33" i="5"/>
  <c r="G33" i="5"/>
  <c r="E33" i="5"/>
  <c r="I32" i="5"/>
  <c r="G32" i="5"/>
  <c r="E32" i="5"/>
  <c r="I31" i="5"/>
  <c r="G31" i="5"/>
  <c r="E31" i="5"/>
  <c r="I30" i="5"/>
  <c r="E30" i="5"/>
  <c r="I29" i="5"/>
  <c r="E29" i="5"/>
  <c r="BE28" i="5"/>
  <c r="BC28" i="5"/>
  <c r="BA28" i="5"/>
  <c r="AY28" i="5"/>
  <c r="I27" i="5"/>
  <c r="G27" i="5"/>
  <c r="E27" i="5"/>
  <c r="BL25" i="5"/>
  <c r="E25" i="5"/>
  <c r="I24" i="5"/>
  <c r="G24" i="5"/>
  <c r="E24" i="5"/>
  <c r="BN23" i="5"/>
  <c r="BL23" i="5"/>
  <c r="I23" i="5"/>
  <c r="G23" i="5"/>
  <c r="E23" i="5"/>
  <c r="I22" i="5"/>
  <c r="G22" i="5"/>
  <c r="E22" i="5"/>
  <c r="I21" i="5"/>
  <c r="E21" i="5"/>
  <c r="I20" i="5"/>
  <c r="G20" i="5"/>
  <c r="E20" i="5"/>
  <c r="I19" i="5"/>
  <c r="G19" i="5"/>
  <c r="E19" i="5"/>
  <c r="BL18" i="5"/>
  <c r="E17" i="5"/>
  <c r="BL16" i="5"/>
  <c r="I16" i="5"/>
  <c r="G16" i="5"/>
  <c r="E16" i="5"/>
  <c r="I15" i="5"/>
  <c r="G15" i="5"/>
  <c r="E15" i="5"/>
  <c r="I14" i="5"/>
  <c r="G14" i="5"/>
  <c r="E14" i="5"/>
  <c r="BL13" i="5"/>
  <c r="I13" i="5"/>
  <c r="G13" i="5"/>
  <c r="E13" i="5"/>
  <c r="BL12" i="5"/>
  <c r="AG12" i="5"/>
  <c r="AE12" i="5"/>
  <c r="AC12" i="5"/>
  <c r="I12" i="5"/>
  <c r="E12" i="5"/>
  <c r="BL11" i="5"/>
  <c r="I11" i="5"/>
  <c r="G11" i="5"/>
  <c r="E11" i="5"/>
  <c r="AG10" i="5"/>
  <c r="AE10" i="5"/>
  <c r="AC10" i="5"/>
  <c r="E10" i="5"/>
  <c r="I9" i="5"/>
  <c r="G9" i="5"/>
  <c r="E9" i="5"/>
  <c r="BL8" i="5"/>
  <c r="E8" i="5"/>
  <c r="BL7" i="5"/>
  <c r="I7" i="5"/>
  <c r="G7" i="5"/>
  <c r="E7" i="5"/>
  <c r="BL6" i="5"/>
  <c r="I6" i="5"/>
  <c r="G6" i="5"/>
  <c r="E6" i="5"/>
  <c r="J11" i="3"/>
  <c r="G17" i="6"/>
  <c r="O43" i="6"/>
  <c r="J25" i="3"/>
  <c r="C72" i="8"/>
  <c r="C8" i="3"/>
  <c r="B102" i="8"/>
  <c r="B11" i="3"/>
  <c r="D11" i="3" s="1"/>
  <c r="F94" i="8"/>
  <c r="H19" i="3"/>
  <c r="BI82" i="5"/>
  <c r="BJ82" i="5" s="1"/>
  <c r="D100" i="8"/>
  <c r="B53" i="1"/>
  <c r="F53" i="1" s="1"/>
  <c r="I53" i="1" s="1"/>
  <c r="F54" i="1"/>
  <c r="I54" i="1" s="1"/>
  <c r="H10" i="6"/>
  <c r="F11" i="6"/>
  <c r="G11" i="6" s="1"/>
  <c r="I27" i="6"/>
  <c r="F27" i="6"/>
  <c r="G27" i="6" s="1"/>
  <c r="I36" i="6"/>
  <c r="F36" i="6"/>
  <c r="G36" i="6" s="1"/>
  <c r="I44" i="6"/>
  <c r="F44" i="6"/>
  <c r="I55" i="6"/>
  <c r="Q33" i="6"/>
  <c r="Q41" i="6"/>
  <c r="Q49" i="6"/>
  <c r="N14" i="6"/>
  <c r="O14" i="6" s="1"/>
  <c r="M14" i="6"/>
  <c r="N39" i="6"/>
  <c r="O39" i="6" s="1"/>
  <c r="M39" i="6"/>
  <c r="N47" i="6"/>
  <c r="O47" i="6" s="1"/>
  <c r="M47" i="6"/>
  <c r="N37" i="6"/>
  <c r="O37" i="6" s="1"/>
  <c r="Q37" i="6"/>
  <c r="Q45" i="6"/>
  <c r="N45" i="6"/>
  <c r="Q65" i="6"/>
  <c r="Q73" i="6"/>
  <c r="Q81" i="6"/>
  <c r="AA18" i="6"/>
  <c r="U18" i="6"/>
  <c r="Y35" i="6"/>
  <c r="U35" i="6"/>
  <c r="Y43" i="6"/>
  <c r="U43" i="6"/>
  <c r="Y52" i="6"/>
  <c r="W52" i="6"/>
  <c r="U52" i="6"/>
  <c r="V33" i="6"/>
  <c r="W33" i="6" s="1"/>
  <c r="AC33" i="6"/>
  <c r="AD33" i="6" s="1"/>
  <c r="U41" i="6"/>
  <c r="V41" i="6"/>
  <c r="W41" i="6" s="1"/>
  <c r="AC41" i="6"/>
  <c r="U49" i="6"/>
  <c r="AC49" i="6"/>
  <c r="V49" i="6"/>
  <c r="V39" i="6"/>
  <c r="Y39" i="6"/>
  <c r="Y47" i="6"/>
  <c r="V47" i="6"/>
  <c r="W47" i="6" s="1"/>
  <c r="V58" i="6"/>
  <c r="W58" i="6" s="1"/>
  <c r="Y58" i="6"/>
  <c r="F5" i="6"/>
  <c r="AC5" i="6"/>
  <c r="E5" i="6"/>
  <c r="AC14" i="6"/>
  <c r="F14" i="6"/>
  <c r="D10" i="6"/>
  <c r="F22" i="6"/>
  <c r="E31" i="6"/>
  <c r="AC31" i="6"/>
  <c r="F31" i="6"/>
  <c r="G31" i="6" s="1"/>
  <c r="F39" i="6"/>
  <c r="AE39" i="6" s="1"/>
  <c r="AC39" i="6"/>
  <c r="E47" i="6"/>
  <c r="F47" i="6"/>
  <c r="G47" i="6" s="1"/>
  <c r="AC47" i="6"/>
  <c r="E58" i="6"/>
  <c r="F58" i="6"/>
  <c r="AC67" i="6"/>
  <c r="F67" i="6"/>
  <c r="AC75" i="6"/>
  <c r="F75" i="6"/>
  <c r="G75" i="6" s="1"/>
  <c r="H12" i="3"/>
  <c r="F114" i="8"/>
  <c r="J12" i="3"/>
  <c r="J27" i="3"/>
  <c r="F95" i="8"/>
  <c r="F130" i="8" s="1"/>
  <c r="H27" i="3"/>
  <c r="F82" i="8"/>
  <c r="E8" i="6"/>
  <c r="AA8" i="6"/>
  <c r="AD8" i="6" s="1"/>
  <c r="E17" i="6"/>
  <c r="AA25" i="6"/>
  <c r="E34" i="6"/>
  <c r="I34" i="6"/>
  <c r="I42" i="6"/>
  <c r="E51" i="6"/>
  <c r="I51" i="6"/>
  <c r="I58" i="6"/>
  <c r="AA70" i="6"/>
  <c r="G51" i="6"/>
  <c r="G34" i="6"/>
  <c r="B82" i="8"/>
  <c r="H50" i="6"/>
  <c r="H53" i="6" s="1"/>
  <c r="L10" i="6"/>
  <c r="Z50" i="6"/>
  <c r="Z53" i="6" s="1"/>
  <c r="BJ7" i="5"/>
  <c r="E89" i="8"/>
  <c r="E123" i="8" s="1"/>
  <c r="E91" i="8"/>
  <c r="E125" i="8" s="1"/>
  <c r="C78" i="8"/>
  <c r="F50" i="1"/>
  <c r="I50" i="1" s="1"/>
  <c r="F29" i="1"/>
  <c r="I29" i="1" s="1"/>
  <c r="B52" i="8"/>
  <c r="B94" i="8" s="1"/>
  <c r="B129" i="8" s="1"/>
  <c r="H91" i="1"/>
  <c r="H49" i="1"/>
  <c r="B50" i="6"/>
  <c r="B53" i="6" s="1"/>
  <c r="G42" i="6"/>
  <c r="C90" i="8"/>
  <c r="C124" i="8" s="1"/>
  <c r="P10" i="6"/>
  <c r="N10" i="6" s="1"/>
  <c r="O10" i="6" s="1"/>
  <c r="G78" i="1"/>
  <c r="D50" i="6"/>
  <c r="M7" i="6"/>
  <c r="M24" i="6"/>
  <c r="M41" i="6"/>
  <c r="M49" i="6"/>
  <c r="X50" i="6"/>
  <c r="X53" i="6" s="1"/>
  <c r="C9" i="8"/>
  <c r="C91" i="8"/>
  <c r="G49" i="1"/>
  <c r="C40" i="8"/>
  <c r="C7" i="3" s="1"/>
  <c r="D41" i="8"/>
  <c r="D62" i="8"/>
  <c r="F40" i="8"/>
  <c r="F93" i="8" s="1"/>
  <c r="F127" i="8" s="1"/>
  <c r="D73" i="8"/>
  <c r="B72" i="8"/>
  <c r="D8" i="2" s="1"/>
  <c r="B8" i="3"/>
  <c r="J8" i="3"/>
  <c r="G72" i="8"/>
  <c r="B109" i="1"/>
  <c r="B99" i="1" s="1"/>
  <c r="F110" i="1"/>
  <c r="BJ57" i="5"/>
  <c r="BL81" i="5"/>
  <c r="BI83" i="5"/>
  <c r="W56" i="5"/>
  <c r="BJ30" i="5"/>
  <c r="BG42" i="5"/>
  <c r="BJ42" i="5" s="1"/>
  <c r="Y42" i="5"/>
  <c r="U42" i="5"/>
  <c r="BL48" i="5"/>
  <c r="BJ48" i="5"/>
  <c r="AE53" i="5"/>
  <c r="BI28" i="5"/>
  <c r="BI52" i="5"/>
  <c r="BO26" i="5"/>
  <c r="BO22" i="5"/>
  <c r="BP22" i="5" s="1"/>
  <c r="X54" i="5"/>
  <c r="Y54" i="5" s="1"/>
  <c r="P60" i="5"/>
  <c r="N54" i="5"/>
  <c r="O54" i="5" s="1"/>
  <c r="V24" i="5"/>
  <c r="BK24" i="5"/>
  <c r="BO23" i="5"/>
  <c r="BP23" i="5"/>
  <c r="V20" i="5"/>
  <c r="BK20" i="5"/>
  <c r="BM12" i="5"/>
  <c r="V48" i="5"/>
  <c r="V36" i="5"/>
  <c r="BK44" i="5"/>
  <c r="AM22" i="5"/>
  <c r="AM31" i="5"/>
  <c r="L10" i="5"/>
  <c r="D49" i="5"/>
  <c r="D52" i="5"/>
  <c r="T78" i="5"/>
  <c r="F78" i="5"/>
  <c r="T74" i="5"/>
  <c r="U74" i="5"/>
  <c r="F74" i="5"/>
  <c r="T70" i="5"/>
  <c r="F70" i="5"/>
  <c r="AM47" i="5"/>
  <c r="B49" i="5"/>
  <c r="T14" i="5"/>
  <c r="T5" i="5"/>
  <c r="BM40" i="5"/>
  <c r="AK5" i="5"/>
  <c r="AL7" i="5"/>
  <c r="AM7" i="5"/>
  <c r="AJ10" i="5"/>
  <c r="AL11" i="5"/>
  <c r="AH10" i="5"/>
  <c r="AM14" i="5"/>
  <c r="AK14" i="5"/>
  <c r="AL19" i="5"/>
  <c r="AM19" i="5" s="1"/>
  <c r="AK22" i="5"/>
  <c r="AK27" i="5"/>
  <c r="AL27" i="5"/>
  <c r="AM27" i="5" s="1"/>
  <c r="AH49" i="5"/>
  <c r="AK31" i="5"/>
  <c r="AK36" i="5"/>
  <c r="AK39" i="5"/>
  <c r="AK47" i="5"/>
  <c r="AK54" i="5"/>
  <c r="AK57" i="5"/>
  <c r="AL59" i="5"/>
  <c r="AL63" i="5"/>
  <c r="AK63" i="5"/>
  <c r="AM66" i="5"/>
  <c r="AK66" i="5"/>
  <c r="AL68" i="5"/>
  <c r="AM68" i="5" s="1"/>
  <c r="AL71" i="5"/>
  <c r="AM71" i="5" s="1"/>
  <c r="AK71" i="5"/>
  <c r="AM74" i="5"/>
  <c r="AK74" i="5"/>
  <c r="AK80" i="5"/>
  <c r="AL80" i="5"/>
  <c r="AT10" i="5"/>
  <c r="AR28" i="5"/>
  <c r="AU30" i="5"/>
  <c r="AU38" i="5"/>
  <c r="R55" i="5"/>
  <c r="B28" i="5"/>
  <c r="R61" i="5"/>
  <c r="B83" i="5"/>
  <c r="T57" i="5"/>
  <c r="AS9" i="5"/>
  <c r="AT9" i="5"/>
  <c r="AP10" i="5"/>
  <c r="AU13" i="5"/>
  <c r="AS13" i="5"/>
  <c r="AU21" i="5"/>
  <c r="AS21" i="5"/>
  <c r="AP49" i="5"/>
  <c r="AS30" i="5"/>
  <c r="AT32" i="5"/>
  <c r="AU32" i="5"/>
  <c r="AV49" i="5"/>
  <c r="AR49" i="5"/>
  <c r="AT35" i="5"/>
  <c r="AU35" i="5"/>
  <c r="AS35" i="5"/>
  <c r="AS38" i="5"/>
  <c r="AT43" i="5"/>
  <c r="AU43" i="5"/>
  <c r="AS43" i="5"/>
  <c r="AS46" i="5"/>
  <c r="L49" i="5"/>
  <c r="AK11" i="5"/>
  <c r="AM39" i="5"/>
  <c r="AL44" i="5"/>
  <c r="AM44" i="5"/>
  <c r="R58" i="5"/>
  <c r="B60" i="5"/>
  <c r="J49" i="5"/>
  <c r="T81" i="5"/>
  <c r="F81" i="5"/>
  <c r="F76" i="5"/>
  <c r="T76" i="5"/>
  <c r="U76" i="5"/>
  <c r="T72" i="5"/>
  <c r="F72" i="5"/>
  <c r="F68" i="5"/>
  <c r="T68" i="5"/>
  <c r="U68" i="5" s="1"/>
  <c r="D83" i="5"/>
  <c r="E83" i="5" s="1"/>
  <c r="V74" i="5"/>
  <c r="W74" i="5" s="1"/>
  <c r="X71" i="5"/>
  <c r="Y71" i="5" s="1"/>
  <c r="H83" i="5"/>
  <c r="I83" i="5"/>
  <c r="F71" i="5"/>
  <c r="V67" i="5"/>
  <c r="W67" i="5" s="1"/>
  <c r="X57" i="5"/>
  <c r="H10" i="5"/>
  <c r="AD60" i="5"/>
  <c r="AE60" i="5" s="1"/>
  <c r="P10" i="5"/>
  <c r="X76" i="5"/>
  <c r="M33" i="6"/>
  <c r="L50" i="6"/>
  <c r="M60" i="6"/>
  <c r="AC60" i="6"/>
  <c r="AF52" i="5"/>
  <c r="G93" i="8"/>
  <c r="X68" i="5"/>
  <c r="Z60" i="5"/>
  <c r="AG60" i="5" s="1"/>
  <c r="C49" i="1"/>
  <c r="F56" i="1"/>
  <c r="I56" i="1" s="1"/>
  <c r="B131" i="8"/>
  <c r="D131" i="8" s="1"/>
  <c r="B46" i="2" s="1"/>
  <c r="B114" i="8"/>
  <c r="AA24" i="6"/>
  <c r="AA57" i="6"/>
  <c r="U33" i="6"/>
  <c r="T50" i="6"/>
  <c r="U60" i="6"/>
  <c r="C78" i="1"/>
  <c r="C99" i="1"/>
  <c r="M10" i="6"/>
  <c r="N7" i="6"/>
  <c r="Q24" i="6"/>
  <c r="N24" i="6"/>
  <c r="O24" i="6" s="1"/>
  <c r="P50" i="6"/>
  <c r="P53" i="6" s="1"/>
  <c r="N33" i="6"/>
  <c r="O33" i="6" s="1"/>
  <c r="N41" i="6"/>
  <c r="O41" i="6" s="1"/>
  <c r="N49" i="6"/>
  <c r="O49" i="6" s="1"/>
  <c r="N60" i="6"/>
  <c r="G99" i="1"/>
  <c r="E24" i="6"/>
  <c r="J50" i="6"/>
  <c r="J53" i="6" s="1"/>
  <c r="C115" i="1"/>
  <c r="C104" i="2"/>
  <c r="C103" i="2"/>
  <c r="C102" i="2"/>
  <c r="C101" i="2"/>
  <c r="C108" i="2"/>
  <c r="C100" i="2"/>
  <c r="C107" i="2"/>
  <c r="C106" i="2"/>
  <c r="B13" i="8"/>
  <c r="D9" i="2" s="1"/>
  <c r="B95" i="8"/>
  <c r="B130" i="8" s="1"/>
  <c r="B19" i="3"/>
  <c r="D53" i="6"/>
  <c r="I10" i="6"/>
  <c r="G14" i="6"/>
  <c r="G44" i="6"/>
  <c r="AC60" i="5"/>
  <c r="Y57" i="5"/>
  <c r="V57" i="5"/>
  <c r="BM68" i="5"/>
  <c r="G68" i="5"/>
  <c r="W36" i="5"/>
  <c r="BM19" i="5"/>
  <c r="O7" i="6"/>
  <c r="BG58" i="5"/>
  <c r="Y58" i="5"/>
  <c r="M49" i="5"/>
  <c r="AR52" i="5"/>
  <c r="AM63" i="5"/>
  <c r="BM63" i="5"/>
  <c r="G70" i="5"/>
  <c r="BM7" i="5"/>
  <c r="BM48" i="5"/>
  <c r="W48" i="5"/>
  <c r="W24" i="5"/>
  <c r="V68" i="5"/>
  <c r="W68" i="5" s="1"/>
  <c r="Y68" i="5"/>
  <c r="AF84" i="5"/>
  <c r="AD52" i="5"/>
  <c r="BM71" i="5"/>
  <c r="G71" i="5"/>
  <c r="V72" i="5"/>
  <c r="W72" i="5" s="1"/>
  <c r="U72" i="5"/>
  <c r="AS49" i="5"/>
  <c r="U57" i="5"/>
  <c r="BK57" i="5"/>
  <c r="AU10" i="5"/>
  <c r="BK14" i="5"/>
  <c r="V14" i="5"/>
  <c r="T10" i="5"/>
  <c r="V70" i="5"/>
  <c r="W70" i="5" s="1"/>
  <c r="U70" i="5"/>
  <c r="BO12" i="5"/>
  <c r="BP12" i="5" s="1"/>
  <c r="BN12" i="5"/>
  <c r="BI59" i="5"/>
  <c r="BI84" i="5"/>
  <c r="I110" i="1"/>
  <c r="C95" i="8"/>
  <c r="C130" i="8" s="1"/>
  <c r="C25" i="3"/>
  <c r="D60" i="8"/>
  <c r="H28" i="5"/>
  <c r="I28" i="5" s="1"/>
  <c r="F10" i="5"/>
  <c r="I10" i="5"/>
  <c r="V76" i="5"/>
  <c r="W76" i="5"/>
  <c r="Y76" i="5"/>
  <c r="AT49" i="5"/>
  <c r="AU49" i="5" s="1"/>
  <c r="AV52" i="5"/>
  <c r="AW49" i="5"/>
  <c r="AM80" i="5"/>
  <c r="BM80" i="5"/>
  <c r="AO10" i="5"/>
  <c r="BO40" i="5"/>
  <c r="I49" i="5"/>
  <c r="BM74" i="5"/>
  <c r="G74" i="5"/>
  <c r="L28" i="5"/>
  <c r="P28" i="5"/>
  <c r="N10" i="5"/>
  <c r="V71" i="5"/>
  <c r="W71" i="5" s="1"/>
  <c r="BM76" i="5"/>
  <c r="G76" i="5"/>
  <c r="Y61" i="5"/>
  <c r="W61" i="5"/>
  <c r="U61" i="5"/>
  <c r="BM20" i="5"/>
  <c r="BN20" i="5"/>
  <c r="W20" i="5"/>
  <c r="N60" i="5"/>
  <c r="O60" i="5" s="1"/>
  <c r="Q60" i="5"/>
  <c r="F49" i="5"/>
  <c r="G49" i="5" s="1"/>
  <c r="E49" i="5"/>
  <c r="G81" i="5"/>
  <c r="BM81" i="5"/>
  <c r="AP28" i="5"/>
  <c r="AS10" i="5"/>
  <c r="AW10" i="5"/>
  <c r="B52" i="5"/>
  <c r="E52" i="5" s="1"/>
  <c r="E28" i="5"/>
  <c r="AK10" i="5"/>
  <c r="AL10" i="5"/>
  <c r="G78" i="5"/>
  <c r="BM78" i="5"/>
  <c r="V54" i="5"/>
  <c r="W54" i="5" s="1"/>
  <c r="L53" i="6"/>
  <c r="V81" i="5"/>
  <c r="W81" i="5"/>
  <c r="U81" i="5"/>
  <c r="BM44" i="5"/>
  <c r="BN44" i="5" s="1"/>
  <c r="BG55" i="5"/>
  <c r="Y55" i="5"/>
  <c r="W55" i="5"/>
  <c r="U55" i="5"/>
  <c r="U78" i="5"/>
  <c r="BL44" i="5"/>
  <c r="BM32" i="5"/>
  <c r="BM43" i="5"/>
  <c r="BO71" i="5"/>
  <c r="BP71" i="5" s="1"/>
  <c r="BN71" i="5"/>
  <c r="G10" i="5"/>
  <c r="V10" i="5"/>
  <c r="BN48" i="5"/>
  <c r="BO48" i="5"/>
  <c r="BP48" i="5"/>
  <c r="W57" i="5"/>
  <c r="BM57" i="5"/>
  <c r="BN57" i="5"/>
  <c r="BN32" i="5"/>
  <c r="BO32" i="5"/>
  <c r="BP32" i="5" s="1"/>
  <c r="BM54" i="5"/>
  <c r="BN80" i="5"/>
  <c r="BO80" i="5"/>
  <c r="BP80" i="5" s="1"/>
  <c r="H52" i="5"/>
  <c r="BO57" i="5"/>
  <c r="BP57" i="5" s="1"/>
  <c r="BL57" i="5"/>
  <c r="BN7" i="5"/>
  <c r="BO7" i="5"/>
  <c r="BP7" i="5" s="1"/>
  <c r="AS52" i="5"/>
  <c r="AR84" i="5"/>
  <c r="BJ58" i="5"/>
  <c r="BO19" i="5"/>
  <c r="AP52" i="5"/>
  <c r="AW28" i="5"/>
  <c r="BO76" i="5"/>
  <c r="AF87" i="5"/>
  <c r="AS28" i="5"/>
  <c r="BK10" i="5"/>
  <c r="L52" i="5"/>
  <c r="BN55" i="5"/>
  <c r="BL55" i="5"/>
  <c r="AT52" i="5"/>
  <c r="AW52" i="5"/>
  <c r="AV84" i="5"/>
  <c r="BO43" i="5"/>
  <c r="BN78" i="5"/>
  <c r="BO78" i="5"/>
  <c r="BP78" i="5"/>
  <c r="BN81" i="5"/>
  <c r="BO81" i="5"/>
  <c r="BP81" i="5" s="1"/>
  <c r="N28" i="5"/>
  <c r="BO74" i="5"/>
  <c r="BP74" i="5" s="1"/>
  <c r="BN74" i="5"/>
  <c r="BO63" i="5"/>
  <c r="BN63" i="5"/>
  <c r="BO68" i="5"/>
  <c r="BP63" i="5"/>
  <c r="AU52" i="5"/>
  <c r="AT84" i="5"/>
  <c r="AP84" i="5"/>
  <c r="T52" i="5"/>
  <c r="F52" i="5"/>
  <c r="I52" i="5"/>
  <c r="AQ12" i="5"/>
  <c r="AQ9" i="5"/>
  <c r="AQ11" i="5"/>
  <c r="AQ16" i="5"/>
  <c r="AQ5" i="5"/>
  <c r="AQ84" i="5"/>
  <c r="AQ74" i="5"/>
  <c r="AQ59" i="5"/>
  <c r="AQ53" i="5"/>
  <c r="AQ75" i="5"/>
  <c r="AQ79" i="5"/>
  <c r="AQ38" i="5"/>
  <c r="AQ30" i="5"/>
  <c r="G52" i="5"/>
  <c r="B89" i="8"/>
  <c r="B123" i="8" s="1"/>
  <c r="G43" i="6"/>
  <c r="O25" i="6"/>
  <c r="C35" i="3"/>
  <c r="Q70" i="6"/>
  <c r="AA78" i="6"/>
  <c r="Q78" i="6"/>
  <c r="O12" i="6"/>
  <c r="U9" i="6"/>
  <c r="Y9" i="6"/>
  <c r="W9" i="6"/>
  <c r="W17" i="6"/>
  <c r="U17" i="6"/>
  <c r="AA17" i="6"/>
  <c r="Y17" i="6"/>
  <c r="Y34" i="6"/>
  <c r="R50" i="6"/>
  <c r="R53" i="6" s="1"/>
  <c r="Y42" i="6"/>
  <c r="U42" i="6"/>
  <c r="U51" i="6"/>
  <c r="Y51" i="6"/>
  <c r="Y61" i="6"/>
  <c r="Y70" i="6"/>
  <c r="Y78" i="6"/>
  <c r="V6" i="6"/>
  <c r="I28" i="1"/>
  <c r="F31" i="1"/>
  <c r="I31" i="1" s="1"/>
  <c r="C25" i="1"/>
  <c r="B17" i="3"/>
  <c r="I8" i="1"/>
  <c r="E88" i="8"/>
  <c r="W39" i="6"/>
  <c r="F58" i="1"/>
  <c r="W59" i="6"/>
  <c r="AD14" i="6"/>
  <c r="G58" i="6"/>
  <c r="G25" i="6"/>
  <c r="G18" i="6"/>
  <c r="AD18" i="6"/>
  <c r="AD5" i="6"/>
  <c r="Y66" i="6" l="1"/>
  <c r="E66" i="6"/>
  <c r="E84" i="6"/>
  <c r="F74" i="6"/>
  <c r="G74" i="6" s="1"/>
  <c r="AA75" i="6"/>
  <c r="AC69" i="6"/>
  <c r="AC73" i="6"/>
  <c r="AD73" i="6" s="1"/>
  <c r="AC77" i="6"/>
  <c r="AC81" i="6"/>
  <c r="G63" i="6"/>
  <c r="V65" i="6"/>
  <c r="W65" i="6" s="1"/>
  <c r="V73" i="6"/>
  <c r="W73" i="6" s="1"/>
  <c r="V81" i="6"/>
  <c r="W81" i="6" s="1"/>
  <c r="D109" i="8"/>
  <c r="B21" i="2" s="1"/>
  <c r="C114" i="8"/>
  <c r="D114" i="8" s="1"/>
  <c r="D21" i="2" s="1"/>
  <c r="G115" i="8"/>
  <c r="E122" i="8"/>
  <c r="W75" i="6"/>
  <c r="E72" i="6"/>
  <c r="AD68" i="6"/>
  <c r="V82" i="6"/>
  <c r="W82" i="6" s="1"/>
  <c r="I80" i="6"/>
  <c r="C16" i="3"/>
  <c r="D16" i="3" s="1"/>
  <c r="G16" i="3" s="1"/>
  <c r="G17" i="3" s="1"/>
  <c r="F82" i="6"/>
  <c r="G82" i="6" s="1"/>
  <c r="F66" i="6"/>
  <c r="G66" i="6" s="1"/>
  <c r="W63" i="6"/>
  <c r="D11" i="2"/>
  <c r="AC82" i="6"/>
  <c r="G76" i="6"/>
  <c r="AA64" i="6"/>
  <c r="D116" i="8"/>
  <c r="I67" i="6"/>
  <c r="R62" i="6"/>
  <c r="AA60" i="6"/>
  <c r="L62" i="6"/>
  <c r="N62" i="6" s="1"/>
  <c r="G67" i="6"/>
  <c r="N58" i="6"/>
  <c r="AE38" i="6"/>
  <c r="AG38" i="6" s="1"/>
  <c r="AH38" i="6" s="1"/>
  <c r="AC59" i="6"/>
  <c r="O55" i="6"/>
  <c r="F72" i="6"/>
  <c r="G72" i="6" s="1"/>
  <c r="F7" i="6"/>
  <c r="G7" i="6" s="1"/>
  <c r="U71" i="6"/>
  <c r="Y73" i="6"/>
  <c r="AD39" i="6"/>
  <c r="I64" i="6"/>
  <c r="Y74" i="6"/>
  <c r="Q55" i="6"/>
  <c r="T10" i="6"/>
  <c r="AA7" i="6"/>
  <c r="U23" i="6"/>
  <c r="W71" i="6"/>
  <c r="AE13" i="6"/>
  <c r="AG13" i="6" s="1"/>
  <c r="I75" i="6"/>
  <c r="Y81" i="6"/>
  <c r="Y23" i="6"/>
  <c r="AE8" i="6"/>
  <c r="AE12" i="6"/>
  <c r="AF12" i="6" s="1"/>
  <c r="AA63" i="6"/>
  <c r="Y79" i="6"/>
  <c r="AD13" i="6"/>
  <c r="AD31" i="6"/>
  <c r="AA79" i="6"/>
  <c r="AE45" i="6"/>
  <c r="Y65" i="6"/>
  <c r="AA21" i="6"/>
  <c r="AA26" i="6"/>
  <c r="D62" i="6"/>
  <c r="Z62" i="6"/>
  <c r="W79" i="6"/>
  <c r="AD46" i="6"/>
  <c r="E75" i="6"/>
  <c r="Q58" i="6"/>
  <c r="T85" i="6"/>
  <c r="W72" i="6"/>
  <c r="AE56" i="6"/>
  <c r="AF56" i="6" s="1"/>
  <c r="O45" i="6"/>
  <c r="AF38" i="6"/>
  <c r="AE18" i="6"/>
  <c r="AE5" i="6"/>
  <c r="AG5" i="6" s="1"/>
  <c r="AH5" i="6" s="1"/>
  <c r="AD60" i="6"/>
  <c r="AD40" i="6"/>
  <c r="AH13" i="6"/>
  <c r="AD30" i="6"/>
  <c r="AD74" i="6"/>
  <c r="AE42" i="6"/>
  <c r="AF42" i="6" s="1"/>
  <c r="AE51" i="6"/>
  <c r="AG56" i="6"/>
  <c r="AH56" i="6" s="1"/>
  <c r="AE52" i="6"/>
  <c r="AF52" i="6" s="1"/>
  <c r="AD12" i="6"/>
  <c r="AE30" i="6"/>
  <c r="E19" i="6"/>
  <c r="AE46" i="6"/>
  <c r="AF46" i="6" s="1"/>
  <c r="D8" i="3"/>
  <c r="G8" i="3" s="1"/>
  <c r="D27" i="3"/>
  <c r="K27" i="3" s="1"/>
  <c r="W5" i="6"/>
  <c r="AC7" i="6"/>
  <c r="AD7" i="6" s="1"/>
  <c r="E9" i="6"/>
  <c r="I19" i="6"/>
  <c r="AF5" i="6"/>
  <c r="I9" i="6"/>
  <c r="AD48" i="6"/>
  <c r="U27" i="6"/>
  <c r="Y7" i="6"/>
  <c r="AG39" i="6"/>
  <c r="AH39" i="6" s="1"/>
  <c r="I15" i="6"/>
  <c r="AD49" i="6"/>
  <c r="W27" i="6"/>
  <c r="H28" i="3"/>
  <c r="H31" i="3" s="1"/>
  <c r="V11" i="6"/>
  <c r="W11" i="6" s="1"/>
  <c r="AE37" i="6"/>
  <c r="AF37" i="6" s="1"/>
  <c r="AD41" i="6"/>
  <c r="AD32" i="6"/>
  <c r="M22" i="6"/>
  <c r="I24" i="6"/>
  <c r="U25" i="6"/>
  <c r="AD51" i="6"/>
  <c r="E15" i="6"/>
  <c r="N16" i="6"/>
  <c r="O16" i="6" s="1"/>
  <c r="AD66" i="6"/>
  <c r="F109" i="1"/>
  <c r="Z10" i="6"/>
  <c r="Z29" i="6" s="1"/>
  <c r="Z54" i="6" s="1"/>
  <c r="D43" i="8"/>
  <c r="G39" i="6"/>
  <c r="I109" i="1"/>
  <c r="AE44" i="6"/>
  <c r="AG44" i="6" s="1"/>
  <c r="AH44" i="6" s="1"/>
  <c r="O28" i="6"/>
  <c r="AG51" i="6"/>
  <c r="AH51" i="6" s="1"/>
  <c r="D6" i="1"/>
  <c r="F42" i="1"/>
  <c r="I42" i="1" s="1"/>
  <c r="D34" i="2" s="1"/>
  <c r="H115" i="1"/>
  <c r="D9" i="8"/>
  <c r="H7" i="3"/>
  <c r="H37" i="3" s="1"/>
  <c r="H40" i="8"/>
  <c r="J7" i="3" s="1"/>
  <c r="F39" i="8"/>
  <c r="F92" i="8" s="1"/>
  <c r="F126" i="8" s="1"/>
  <c r="D49" i="2" s="1"/>
  <c r="AF8" i="6"/>
  <c r="U7" i="6"/>
  <c r="AE43" i="6"/>
  <c r="AF43" i="6" s="1"/>
  <c r="AG45" i="6"/>
  <c r="AH45" i="6" s="1"/>
  <c r="B49" i="1"/>
  <c r="F9" i="6"/>
  <c r="G9" i="6" s="1"/>
  <c r="B38" i="3"/>
  <c r="AE48" i="6"/>
  <c r="AF48" i="6" s="1"/>
  <c r="AE36" i="6"/>
  <c r="AG36" i="6" s="1"/>
  <c r="AH36" i="6" s="1"/>
  <c r="W43" i="6"/>
  <c r="AE31" i="6"/>
  <c r="AG31" i="6" s="1"/>
  <c r="AH31" i="6" s="1"/>
  <c r="B21" i="3"/>
  <c r="B23" i="3" s="1"/>
  <c r="G6" i="1"/>
  <c r="C6" i="1"/>
  <c r="C67" i="1" s="1"/>
  <c r="C68" i="1" s="1"/>
  <c r="C19" i="8"/>
  <c r="C89" i="8"/>
  <c r="C123" i="8" s="1"/>
  <c r="D123" i="8" s="1"/>
  <c r="B33" i="2" s="1"/>
  <c r="G33" i="3"/>
  <c r="K33" i="3"/>
  <c r="I30" i="3"/>
  <c r="G30" i="3"/>
  <c r="H72" i="8"/>
  <c r="D113" i="8"/>
  <c r="C12" i="3"/>
  <c r="C42" i="3" s="1"/>
  <c r="D25" i="3"/>
  <c r="I25" i="3" s="1"/>
  <c r="D115" i="8"/>
  <c r="H13" i="8"/>
  <c r="D57" i="8"/>
  <c r="C125" i="8"/>
  <c r="D90" i="8"/>
  <c r="D124" i="8"/>
  <c r="I8" i="3"/>
  <c r="AC10" i="6"/>
  <c r="AD35" i="6"/>
  <c r="U6" i="6"/>
  <c r="U16" i="6"/>
  <c r="U22" i="6"/>
  <c r="W28" i="6"/>
  <c r="AG8" i="6"/>
  <c r="AH8" i="6" s="1"/>
  <c r="AG12" i="6"/>
  <c r="H38" i="3"/>
  <c r="AF39" i="6"/>
  <c r="H10" i="3"/>
  <c r="H13" i="3" s="1"/>
  <c r="AE34" i="6"/>
  <c r="AF34" i="6" s="1"/>
  <c r="AD42" i="6"/>
  <c r="AE21" i="6"/>
  <c r="AG21" i="6" s="1"/>
  <c r="AH21" i="6" s="1"/>
  <c r="AF45" i="6"/>
  <c r="AE27" i="6"/>
  <c r="AF27" i="6" s="1"/>
  <c r="AD34" i="6"/>
  <c r="F19" i="6"/>
  <c r="G19" i="6" s="1"/>
  <c r="AE17" i="6"/>
  <c r="AG17" i="6" s="1"/>
  <c r="AH17" i="6" s="1"/>
  <c r="I23" i="6"/>
  <c r="M23" i="6"/>
  <c r="AC26" i="6"/>
  <c r="H39" i="3"/>
  <c r="H93" i="8"/>
  <c r="G27" i="3"/>
  <c r="AF51" i="6"/>
  <c r="AE35" i="6"/>
  <c r="AG35" i="6" s="1"/>
  <c r="AH35" i="6" s="1"/>
  <c r="H21" i="3"/>
  <c r="H23" i="3" s="1"/>
  <c r="AE32" i="6"/>
  <c r="AF32" i="6" s="1"/>
  <c r="D102" i="8"/>
  <c r="I33" i="3"/>
  <c r="D15" i="3"/>
  <c r="H41" i="3"/>
  <c r="J38" i="3"/>
  <c r="AE47" i="6"/>
  <c r="AF47" i="6" s="1"/>
  <c r="AD47" i="6"/>
  <c r="AG46" i="6"/>
  <c r="AH46" i="6" s="1"/>
  <c r="I50" i="6"/>
  <c r="F50" i="6"/>
  <c r="G50" i="6" s="1"/>
  <c r="F53" i="6"/>
  <c r="G53" i="6" s="1"/>
  <c r="AF44" i="6"/>
  <c r="AD43" i="6"/>
  <c r="W42" i="6"/>
  <c r="AE41" i="6"/>
  <c r="AG41" i="6" s="1"/>
  <c r="AH41" i="6" s="1"/>
  <c r="AE40" i="6"/>
  <c r="AF40" i="6" s="1"/>
  <c r="V50" i="6"/>
  <c r="W50" i="6" s="1"/>
  <c r="AD38" i="6"/>
  <c r="AG37" i="6"/>
  <c r="AH37" i="6" s="1"/>
  <c r="N53" i="6"/>
  <c r="O53" i="6" s="1"/>
  <c r="N50" i="6"/>
  <c r="O50" i="6" s="1"/>
  <c r="AA50" i="6"/>
  <c r="AG34" i="6"/>
  <c r="AH34" i="6" s="1"/>
  <c r="AE33" i="6"/>
  <c r="M53" i="6"/>
  <c r="Q53" i="6"/>
  <c r="Q50" i="6"/>
  <c r="M50" i="6"/>
  <c r="W32" i="6"/>
  <c r="E53" i="6"/>
  <c r="I53" i="6"/>
  <c r="E50" i="6"/>
  <c r="T53" i="6"/>
  <c r="U50" i="6"/>
  <c r="Y50" i="6"/>
  <c r="AG30" i="6"/>
  <c r="AH30" i="6" s="1"/>
  <c r="AC50" i="6"/>
  <c r="AA53" i="6"/>
  <c r="Y53" i="6"/>
  <c r="B78" i="1"/>
  <c r="B128" i="1" s="1"/>
  <c r="E78" i="1"/>
  <c r="E128" i="1" s="1"/>
  <c r="G128" i="1"/>
  <c r="I96" i="1"/>
  <c r="I99" i="1"/>
  <c r="I95" i="1" s="1"/>
  <c r="F99" i="1"/>
  <c r="C128" i="1"/>
  <c r="F7" i="1"/>
  <c r="I7" i="1" s="1"/>
  <c r="B6" i="1"/>
  <c r="B67" i="1" s="1"/>
  <c r="B68" i="1" s="1"/>
  <c r="D67" i="1"/>
  <c r="D68" i="1" s="1"/>
  <c r="F25" i="1"/>
  <c r="I25" i="1" s="1"/>
  <c r="G67" i="1"/>
  <c r="F49" i="1"/>
  <c r="I49" i="1" s="1"/>
  <c r="D35" i="2" s="1"/>
  <c r="E6" i="1"/>
  <c r="E67" i="1" s="1"/>
  <c r="E68" i="1" s="1"/>
  <c r="H17" i="3"/>
  <c r="I15" i="3"/>
  <c r="K15" i="3"/>
  <c r="G15" i="3"/>
  <c r="G22" i="3"/>
  <c r="C41" i="3"/>
  <c r="J28" i="3"/>
  <c r="J31" i="3" s="1"/>
  <c r="K8" i="3"/>
  <c r="D95" i="8"/>
  <c r="D20" i="3"/>
  <c r="K20" i="3" s="1"/>
  <c r="G39" i="8"/>
  <c r="J19" i="3"/>
  <c r="J21" i="3" s="1"/>
  <c r="J10" i="3"/>
  <c r="J13" i="3" s="1"/>
  <c r="D27" i="8"/>
  <c r="D28" i="2"/>
  <c r="I11" i="3"/>
  <c r="K11" i="3"/>
  <c r="G11" i="3"/>
  <c r="B41" i="3"/>
  <c r="D78" i="8"/>
  <c r="D72" i="8"/>
  <c r="D68" i="8"/>
  <c r="D52" i="8"/>
  <c r="B39" i="8"/>
  <c r="B7" i="3"/>
  <c r="D7" i="3" s="1"/>
  <c r="B19" i="8"/>
  <c r="D91" i="8"/>
  <c r="C88" i="8"/>
  <c r="C121" i="8" s="1"/>
  <c r="H95" i="8"/>
  <c r="J39" i="3"/>
  <c r="I27" i="3"/>
  <c r="AD21" i="6"/>
  <c r="H29" i="6"/>
  <c r="H54" i="6" s="1"/>
  <c r="V25" i="6"/>
  <c r="W25" i="6" s="1"/>
  <c r="F55" i="6"/>
  <c r="AE55" i="6" s="1"/>
  <c r="AF55" i="6" s="1"/>
  <c r="B62" i="6"/>
  <c r="E62" i="6" s="1"/>
  <c r="Y57" i="6"/>
  <c r="L29" i="6"/>
  <c r="L54" i="6" s="1"/>
  <c r="Q17" i="6"/>
  <c r="AC25" i="6"/>
  <c r="AD25" i="6" s="1"/>
  <c r="O17" i="6"/>
  <c r="AA20" i="6"/>
  <c r="Y20" i="6"/>
  <c r="W21" i="6"/>
  <c r="AA22" i="6"/>
  <c r="U24" i="6"/>
  <c r="AA61" i="6"/>
  <c r="AF61" i="6" s="1"/>
  <c r="M16" i="6"/>
  <c r="I7" i="6"/>
  <c r="W15" i="6"/>
  <c r="AC28" i="6"/>
  <c r="F23" i="6"/>
  <c r="G23" i="6" s="1"/>
  <c r="AC15" i="6"/>
  <c r="AE59" i="6"/>
  <c r="AG59" i="6" s="1"/>
  <c r="T62" i="6"/>
  <c r="U62" i="6" s="1"/>
  <c r="N22" i="6"/>
  <c r="O22" i="6" s="1"/>
  <c r="G21" i="6"/>
  <c r="AG61" i="6"/>
  <c r="M28" i="6"/>
  <c r="E23" i="6"/>
  <c r="G20" i="6"/>
  <c r="AD26" i="6"/>
  <c r="W6" i="6"/>
  <c r="AC24" i="6"/>
  <c r="AD24" i="6" s="1"/>
  <c r="AD27" i="6"/>
  <c r="AC6" i="6"/>
  <c r="V16" i="6"/>
  <c r="W16" i="6" s="1"/>
  <c r="J29" i="6"/>
  <c r="J54" i="6" s="1"/>
  <c r="X10" i="6"/>
  <c r="V10" i="6" s="1"/>
  <c r="H62" i="6"/>
  <c r="G22" i="6"/>
  <c r="M58" i="6"/>
  <c r="Y6" i="6"/>
  <c r="Y21" i="6"/>
  <c r="Y27" i="6"/>
  <c r="AA23" i="6"/>
  <c r="AD23" i="6" s="1"/>
  <c r="AC19" i="6"/>
  <c r="Q26" i="6"/>
  <c r="V7" i="6"/>
  <c r="AE6" i="6"/>
  <c r="AF6" i="6" s="1"/>
  <c r="AE25" i="6"/>
  <c r="T29" i="6"/>
  <c r="D29" i="6"/>
  <c r="AC22" i="6"/>
  <c r="I22" i="6"/>
  <c r="I59" i="6"/>
  <c r="AC20" i="6"/>
  <c r="AD20" i="6" s="1"/>
  <c r="AA59" i="6"/>
  <c r="AF59" i="6" s="1"/>
  <c r="V22" i="6"/>
  <c r="W22" i="6" s="1"/>
  <c r="G61" i="6"/>
  <c r="V60" i="6"/>
  <c r="W60" i="6" s="1"/>
  <c r="Y16" i="6"/>
  <c r="AA15" i="6"/>
  <c r="AA28" i="6"/>
  <c r="E59" i="6"/>
  <c r="U15" i="6"/>
  <c r="V20" i="6"/>
  <c r="AE20" i="6" s="1"/>
  <c r="U28" i="6"/>
  <c r="X62" i="6"/>
  <c r="AC16" i="6"/>
  <c r="AD16" i="6" s="1"/>
  <c r="Y11" i="6"/>
  <c r="I20" i="6"/>
  <c r="Y22" i="6"/>
  <c r="E20" i="6"/>
  <c r="AE14" i="6"/>
  <c r="AD17" i="6"/>
  <c r="AE28" i="6"/>
  <c r="J62" i="6"/>
  <c r="AA58" i="6"/>
  <c r="AD58" i="6" s="1"/>
  <c r="Y55" i="6"/>
  <c r="AC9" i="6"/>
  <c r="F15" i="6"/>
  <c r="F24" i="6"/>
  <c r="B29" i="6"/>
  <c r="B54" i="6" s="1"/>
  <c r="I61" i="6"/>
  <c r="AH12" i="6"/>
  <c r="E121" i="8"/>
  <c r="I58" i="1"/>
  <c r="AQ52" i="5"/>
  <c r="AQ19" i="5"/>
  <c r="AQ42" i="5"/>
  <c r="AQ23" i="5"/>
  <c r="AQ8" i="5"/>
  <c r="AQ45" i="5"/>
  <c r="AQ66" i="5"/>
  <c r="AQ58" i="5"/>
  <c r="AQ67" i="5"/>
  <c r="AQ71" i="5"/>
  <c r="AQ46" i="5"/>
  <c r="AQ50" i="5"/>
  <c r="AQ40" i="5"/>
  <c r="AQ14" i="5"/>
  <c r="AQ43" i="5"/>
  <c r="AQ41" i="5"/>
  <c r="AQ77" i="5"/>
  <c r="AQ57" i="5"/>
  <c r="AQ78" i="5"/>
  <c r="AQ63" i="5"/>
  <c r="AQ21" i="5"/>
  <c r="AQ24" i="5"/>
  <c r="AQ36" i="5"/>
  <c r="AQ6" i="5"/>
  <c r="AQ35" i="5"/>
  <c r="AQ37" i="5"/>
  <c r="AQ69" i="5"/>
  <c r="AQ56" i="5"/>
  <c r="AQ70" i="5"/>
  <c r="AQ68" i="5"/>
  <c r="AQ10" i="5"/>
  <c r="AU84" i="5"/>
  <c r="AW84" i="5"/>
  <c r="AS84" i="5"/>
  <c r="AQ15" i="5"/>
  <c r="AQ34" i="5"/>
  <c r="AQ51" i="5"/>
  <c r="AQ47" i="5"/>
  <c r="AQ33" i="5"/>
  <c r="AQ61" i="5"/>
  <c r="AQ55" i="5"/>
  <c r="AQ62" i="5"/>
  <c r="AQ60" i="5"/>
  <c r="AQ49" i="5"/>
  <c r="AQ7" i="5"/>
  <c r="AQ32" i="5"/>
  <c r="AQ20" i="5"/>
  <c r="AQ39" i="5"/>
  <c r="AQ29" i="5"/>
  <c r="AQ80" i="5"/>
  <c r="AQ54" i="5"/>
  <c r="AQ81" i="5"/>
  <c r="AQ76" i="5"/>
  <c r="AQ28" i="5"/>
  <c r="AQ48" i="5"/>
  <c r="AQ17" i="5"/>
  <c r="AQ25" i="5"/>
  <c r="AQ22" i="5"/>
  <c r="AQ82" i="5"/>
  <c r="AQ64" i="5"/>
  <c r="AQ83" i="5"/>
  <c r="AQ65" i="5"/>
  <c r="AQ13" i="5"/>
  <c r="H82" i="8"/>
  <c r="H94" i="8"/>
  <c r="F129" i="8"/>
  <c r="AF30" i="6"/>
  <c r="AQ72" i="5"/>
  <c r="AQ26" i="5"/>
  <c r="AQ44" i="5"/>
  <c r="AM11" i="5"/>
  <c r="BM11" i="5"/>
  <c r="BL24" i="5"/>
  <c r="AF13" i="6"/>
  <c r="BN54" i="5"/>
  <c r="BO54" i="5"/>
  <c r="BP54" i="5" s="1"/>
  <c r="AM59" i="5"/>
  <c r="BM59" i="5"/>
  <c r="AF21" i="6"/>
  <c r="AQ27" i="5"/>
  <c r="AQ73" i="5"/>
  <c r="AQ31" i="5"/>
  <c r="AM10" i="5"/>
  <c r="BM10" i="5"/>
  <c r="BM9" i="5"/>
  <c r="AU9" i="5"/>
  <c r="C93" i="8"/>
  <c r="D40" i="8"/>
  <c r="C39" i="8"/>
  <c r="BG19" i="5"/>
  <c r="AO19" i="5"/>
  <c r="AH28" i="5"/>
  <c r="AK19" i="5"/>
  <c r="AL21" i="5"/>
  <c r="AM21" i="5" s="1"/>
  <c r="AO21" i="5"/>
  <c r="AN28" i="5"/>
  <c r="AK24" i="5"/>
  <c r="AJ28" i="5"/>
  <c r="AK46" i="5"/>
  <c r="AL46" i="5"/>
  <c r="BK46" i="5"/>
  <c r="AJ49" i="5"/>
  <c r="AK49" i="5" s="1"/>
  <c r="AK50" i="5"/>
  <c r="AM50" i="5"/>
  <c r="AO50" i="5"/>
  <c r="BG50" i="5"/>
  <c r="AL53" i="5"/>
  <c r="AM53" i="5" s="1"/>
  <c r="AO53" i="5"/>
  <c r="AN60" i="5"/>
  <c r="AK56" i="5"/>
  <c r="AL56" i="5"/>
  <c r="BK56" i="5"/>
  <c r="AJ60" i="5"/>
  <c r="AK59" i="5"/>
  <c r="BG59" i="5"/>
  <c r="AO59" i="5"/>
  <c r="AH60" i="5"/>
  <c r="AL62" i="5"/>
  <c r="AO62" i="5"/>
  <c r="AN83" i="5"/>
  <c r="AK65" i="5"/>
  <c r="AL65" i="5"/>
  <c r="BK65" i="5"/>
  <c r="AJ83" i="5"/>
  <c r="AK83" i="5" s="1"/>
  <c r="AK68" i="5"/>
  <c r="BG68" i="5"/>
  <c r="AO68" i="5"/>
  <c r="AH83" i="5"/>
  <c r="AM70" i="5"/>
  <c r="BM70" i="5"/>
  <c r="AL73" i="5"/>
  <c r="AK73" i="5"/>
  <c r="BK73" i="5"/>
  <c r="AK76" i="5"/>
  <c r="BG76" i="5"/>
  <c r="AO76" i="5"/>
  <c r="BL40" i="5"/>
  <c r="BJ40" i="5"/>
  <c r="BN40" i="5"/>
  <c r="BP40" i="5"/>
  <c r="O60" i="6"/>
  <c r="AE60" i="6"/>
  <c r="BL20" i="5"/>
  <c r="BO20" i="5"/>
  <c r="BP20" i="5" s="1"/>
  <c r="AE49" i="6"/>
  <c r="W49" i="6"/>
  <c r="F10" i="6"/>
  <c r="G10" i="6" s="1"/>
  <c r="E10" i="6"/>
  <c r="P29" i="6"/>
  <c r="Q10" i="6"/>
  <c r="BL17" i="5"/>
  <c r="BJ17" i="5"/>
  <c r="AD84" i="5"/>
  <c r="G72" i="5"/>
  <c r="BM72" i="5"/>
  <c r="BK5" i="5"/>
  <c r="T28" i="5"/>
  <c r="V5" i="5"/>
  <c r="BJ55" i="5"/>
  <c r="BP55" i="5"/>
  <c r="BL42" i="5"/>
  <c r="B84" i="5"/>
  <c r="H42" i="3"/>
  <c r="BL75" i="5"/>
  <c r="BL62" i="5"/>
  <c r="BJ62" i="5"/>
  <c r="BJ18" i="5"/>
  <c r="BP18" i="5"/>
  <c r="BN18" i="5"/>
  <c r="BN47" i="5"/>
  <c r="BL47" i="5"/>
  <c r="BP47" i="5"/>
  <c r="BG35" i="5"/>
  <c r="U35" i="5"/>
  <c r="Y25" i="5"/>
  <c r="V25" i="5"/>
  <c r="BN22" i="5"/>
  <c r="BO82" i="5"/>
  <c r="BP82" i="5" s="1"/>
  <c r="Y39" i="5"/>
  <c r="W39" i="5"/>
  <c r="U39" i="5"/>
  <c r="BG39" i="5"/>
  <c r="BL22" i="5"/>
  <c r="BL19" i="5"/>
  <c r="J22" i="3"/>
  <c r="G102" i="8"/>
  <c r="H102" i="8" s="1"/>
  <c r="D65" i="2" s="1"/>
  <c r="C82" i="8"/>
  <c r="D82" i="8" s="1"/>
  <c r="D84" i="8"/>
  <c r="D79" i="1"/>
  <c r="D78" i="1" s="1"/>
  <c r="D128" i="1" s="1"/>
  <c r="F80" i="1"/>
  <c r="F91" i="1"/>
  <c r="I98" i="1"/>
  <c r="I118" i="1"/>
  <c r="I117" i="1" s="1"/>
  <c r="F117" i="1"/>
  <c r="F115" i="1" s="1"/>
  <c r="I115" i="1" s="1"/>
  <c r="D29" i="3"/>
  <c r="W21" i="5"/>
  <c r="AC28" i="5"/>
  <c r="Z52" i="5"/>
  <c r="AG28" i="5"/>
  <c r="F83" i="1"/>
  <c r="I83" i="1" s="1"/>
  <c r="BJ9" i="5"/>
  <c r="BL9" i="5"/>
  <c r="U27" i="5"/>
  <c r="BK27" i="5"/>
  <c r="F62" i="5"/>
  <c r="X62" i="5"/>
  <c r="BL31" i="5"/>
  <c r="BJ31" i="5"/>
  <c r="BN31" i="5"/>
  <c r="V51" i="5"/>
  <c r="Y51" i="5"/>
  <c r="N34" i="5"/>
  <c r="O34" i="5" s="1"/>
  <c r="Q34" i="5"/>
  <c r="F25" i="5"/>
  <c r="G25" i="5" s="1"/>
  <c r="I25" i="5"/>
  <c r="I17" i="5"/>
  <c r="X17" i="5"/>
  <c r="F17" i="5"/>
  <c r="G17" i="5" s="1"/>
  <c r="F8" i="5"/>
  <c r="X8" i="5"/>
  <c r="I8" i="5"/>
  <c r="V75" i="5"/>
  <c r="W75" i="5" s="1"/>
  <c r="Y75" i="5"/>
  <c r="BO44" i="5"/>
  <c r="BP44" i="5" s="1"/>
  <c r="W29" i="5"/>
  <c r="U29" i="5"/>
  <c r="BG29" i="5"/>
  <c r="Y29" i="5"/>
  <c r="V35" i="5"/>
  <c r="Y35" i="5"/>
  <c r="BK30" i="5"/>
  <c r="T49" i="5"/>
  <c r="J10" i="5"/>
  <c r="M14" i="5"/>
  <c r="R14" i="5"/>
  <c r="Q14" i="5"/>
  <c r="M5" i="5"/>
  <c r="O5" i="5"/>
  <c r="R5" i="5"/>
  <c r="U5" i="5" s="1"/>
  <c r="Q5" i="5"/>
  <c r="Q43" i="5"/>
  <c r="R43" i="5"/>
  <c r="M43" i="5"/>
  <c r="Q35" i="5"/>
  <c r="M35" i="5"/>
  <c r="I26" i="5"/>
  <c r="G26" i="5"/>
  <c r="E26" i="5"/>
  <c r="R26" i="5"/>
  <c r="R69" i="5"/>
  <c r="O69" i="5"/>
  <c r="M69" i="5"/>
  <c r="J83" i="5"/>
  <c r="T58" i="5"/>
  <c r="T60" i="5" s="1"/>
  <c r="D60" i="5"/>
  <c r="E58" i="5"/>
  <c r="F40" i="3"/>
  <c r="F43" i="3" s="1"/>
  <c r="B28" i="3"/>
  <c r="B31" i="3" s="1"/>
  <c r="BJ13" i="5"/>
  <c r="BN13" i="5"/>
  <c r="BL36" i="5"/>
  <c r="BJ36" i="5"/>
  <c r="BM16" i="5"/>
  <c r="BN16" i="5" s="1"/>
  <c r="AM78" i="5"/>
  <c r="AK78" i="5"/>
  <c r="F69" i="5"/>
  <c r="T69" i="5"/>
  <c r="U69" i="5" s="1"/>
  <c r="N26" i="6"/>
  <c r="M26" i="6"/>
  <c r="J17" i="3"/>
  <c r="AL24" i="5"/>
  <c r="AU41" i="5"/>
  <c r="AS41" i="5"/>
  <c r="X53" i="5"/>
  <c r="H60" i="5"/>
  <c r="N78" i="5"/>
  <c r="O78" i="5" s="1"/>
  <c r="X78" i="5"/>
  <c r="C9" i="3"/>
  <c r="C13" i="8"/>
  <c r="D75" i="8"/>
  <c r="C26" i="3"/>
  <c r="C28" i="3" s="1"/>
  <c r="C31" i="3" s="1"/>
  <c r="Q23" i="6"/>
  <c r="N23" i="6"/>
  <c r="AA71" i="6"/>
  <c r="E71" i="6"/>
  <c r="E83" i="6"/>
  <c r="AA83" i="6"/>
  <c r="AD83" i="6" s="1"/>
  <c r="AC65" i="6"/>
  <c r="F65" i="6"/>
  <c r="AE65" i="6" s="1"/>
  <c r="AG65" i="6" s="1"/>
  <c r="I63" i="6"/>
  <c r="I71" i="6"/>
  <c r="G79" i="6"/>
  <c r="G127" i="8"/>
  <c r="H127" i="8" s="1"/>
  <c r="D42" i="2" s="1"/>
  <c r="B75" i="2"/>
  <c r="BO13" i="5"/>
  <c r="BP13" i="5" s="1"/>
  <c r="V42" i="5"/>
  <c r="AK44" i="5"/>
  <c r="AM76" i="5"/>
  <c r="R53" i="5"/>
  <c r="T80" i="5"/>
  <c r="N71" i="5"/>
  <c r="O71" i="5" s="1"/>
  <c r="L83" i="5"/>
  <c r="BG41" i="5"/>
  <c r="AN49" i="5"/>
  <c r="AT27" i="5"/>
  <c r="AS27" i="5"/>
  <c r="AT36" i="5"/>
  <c r="AS36" i="5"/>
  <c r="V82" i="5"/>
  <c r="W82" i="5" s="1"/>
  <c r="BM39" i="5"/>
  <c r="BK15" i="5"/>
  <c r="X34" i="5"/>
  <c r="V77" i="5"/>
  <c r="W77" i="5" s="1"/>
  <c r="AA11" i="6"/>
  <c r="U11" i="6"/>
  <c r="R10" i="6"/>
  <c r="U20" i="6"/>
  <c r="W20" i="6"/>
  <c r="BM6" i="5"/>
  <c r="V45" i="5"/>
  <c r="V38" i="5"/>
  <c r="AM8" i="5"/>
  <c r="AU31" i="5"/>
  <c r="T66" i="5"/>
  <c r="F66" i="5"/>
  <c r="P49" i="5"/>
  <c r="X50" i="5"/>
  <c r="X41" i="5"/>
  <c r="D71" i="8"/>
  <c r="C19" i="3"/>
  <c r="C94" i="8"/>
  <c r="D97" i="8"/>
  <c r="B28" i="2" s="1"/>
  <c r="V30" i="5"/>
  <c r="AM30" i="5"/>
  <c r="AK30" i="5"/>
  <c r="X66" i="5"/>
  <c r="P83" i="5"/>
  <c r="Q83" i="5" s="1"/>
  <c r="N66" i="5"/>
  <c r="O66" i="5" s="1"/>
  <c r="E55" i="6"/>
  <c r="AC55" i="6"/>
  <c r="AC57" i="6"/>
  <c r="V57" i="6"/>
  <c r="AS19" i="5"/>
  <c r="AS14" i="5"/>
  <c r="AT14" i="5"/>
  <c r="AT28" i="5" s="1"/>
  <c r="AU28" i="5" s="1"/>
  <c r="AS8" i="5"/>
  <c r="G92" i="8"/>
  <c r="G116" i="8"/>
  <c r="G128" i="8" s="1"/>
  <c r="H128" i="8" s="1"/>
  <c r="D43" i="2" s="1"/>
  <c r="G129" i="8"/>
  <c r="AA73" i="6"/>
  <c r="X85" i="6"/>
  <c r="V77" i="6"/>
  <c r="W77" i="6" s="1"/>
  <c r="Z85" i="6"/>
  <c r="G83" i="6"/>
  <c r="H128" i="1"/>
  <c r="H67" i="1"/>
  <c r="H68" i="1" s="1"/>
  <c r="G118" i="8"/>
  <c r="G130" i="8" s="1"/>
  <c r="H130" i="8" s="1"/>
  <c r="D45" i="2" s="1"/>
  <c r="G119" i="8"/>
  <c r="G131" i="8" s="1"/>
  <c r="H131" i="8" s="1"/>
  <c r="D34" i="3"/>
  <c r="G34" i="3" s="1"/>
  <c r="G35" i="3" s="1"/>
  <c r="D130" i="8"/>
  <c r="B45" i="2" s="1"/>
  <c r="D128" i="8"/>
  <c r="B43" i="2" s="1"/>
  <c r="B42" i="3"/>
  <c r="B66" i="2"/>
  <c r="D122" i="8"/>
  <c r="D125" i="8"/>
  <c r="B29" i="2"/>
  <c r="K30" i="3"/>
  <c r="J42" i="3"/>
  <c r="I79" i="6"/>
  <c r="F71" i="6"/>
  <c r="G71" i="6" s="1"/>
  <c r="I81" i="6"/>
  <c r="F81" i="6"/>
  <c r="G81" i="6" s="1"/>
  <c r="F73" i="6"/>
  <c r="AE73" i="6" s="1"/>
  <c r="AF73" i="6" s="1"/>
  <c r="E65" i="6"/>
  <c r="I73" i="6"/>
  <c r="E81" i="6"/>
  <c r="E73" i="6"/>
  <c r="AA81" i="6"/>
  <c r="AD81" i="6" s="1"/>
  <c r="AA65" i="6"/>
  <c r="I65" i="6"/>
  <c r="Y67" i="6"/>
  <c r="U64" i="6"/>
  <c r="U75" i="6"/>
  <c r="U72" i="6"/>
  <c r="AC80" i="6"/>
  <c r="AD80" i="6" s="1"/>
  <c r="AC72" i="6"/>
  <c r="AD72" i="6" s="1"/>
  <c r="AC64" i="6"/>
  <c r="Y69" i="6"/>
  <c r="W83" i="6"/>
  <c r="AA67" i="6"/>
  <c r="V80" i="6"/>
  <c r="W80" i="6" s="1"/>
  <c r="V69" i="6"/>
  <c r="W69" i="6" s="1"/>
  <c r="Y77" i="6"/>
  <c r="AD75" i="6"/>
  <c r="K64" i="6"/>
  <c r="K66" i="6"/>
  <c r="K69" i="6"/>
  <c r="U63" i="6"/>
  <c r="AD84" i="6"/>
  <c r="AC63" i="6"/>
  <c r="R85" i="6"/>
  <c r="S63" i="6" s="1"/>
  <c r="Y83" i="6"/>
  <c r="Y75" i="6"/>
  <c r="V67" i="6"/>
  <c r="W67" i="6" s="1"/>
  <c r="O82" i="6"/>
  <c r="K76" i="6"/>
  <c r="K83" i="6"/>
  <c r="K72" i="6"/>
  <c r="K67" i="6"/>
  <c r="K74" i="6"/>
  <c r="O76" i="6"/>
  <c r="AE76" i="6"/>
  <c r="AG76" i="6" s="1"/>
  <c r="O83" i="6"/>
  <c r="AE83" i="6"/>
  <c r="K65" i="6"/>
  <c r="K77" i="6"/>
  <c r="O67" i="6"/>
  <c r="K80" i="6"/>
  <c r="K79" i="6"/>
  <c r="K36" i="6"/>
  <c r="K52" i="6"/>
  <c r="K32" i="6"/>
  <c r="K85" i="6"/>
  <c r="K39" i="6"/>
  <c r="K40" i="6"/>
  <c r="K27" i="6"/>
  <c r="K10" i="6"/>
  <c r="K70" i="6"/>
  <c r="K11" i="6"/>
  <c r="K26" i="6"/>
  <c r="K38" i="6"/>
  <c r="K18" i="6"/>
  <c r="K34" i="6"/>
  <c r="K12" i="6"/>
  <c r="K43" i="6"/>
  <c r="K19" i="6"/>
  <c r="K7" i="6"/>
  <c r="K9" i="6"/>
  <c r="K29" i="6"/>
  <c r="K15" i="6"/>
  <c r="K41" i="6"/>
  <c r="K73" i="6"/>
  <c r="K24" i="6"/>
  <c r="K14" i="6"/>
  <c r="K45" i="6"/>
  <c r="K21" i="6"/>
  <c r="K42" i="6"/>
  <c r="K78" i="6"/>
  <c r="K16" i="6"/>
  <c r="K60" i="6"/>
  <c r="K33" i="6"/>
  <c r="K5" i="6"/>
  <c r="K44" i="6"/>
  <c r="K6" i="6"/>
  <c r="K55" i="6"/>
  <c r="K47" i="6"/>
  <c r="K46" i="6"/>
  <c r="K50" i="6"/>
  <c r="K23" i="6"/>
  <c r="K13" i="6"/>
  <c r="K49" i="6"/>
  <c r="K53" i="6"/>
  <c r="K48" i="6"/>
  <c r="K57" i="6"/>
  <c r="K31" i="6"/>
  <c r="K51" i="6"/>
  <c r="K25" i="6"/>
  <c r="K30" i="6"/>
  <c r="K8" i="6"/>
  <c r="K59" i="6"/>
  <c r="K35" i="6"/>
  <c r="K37" i="6"/>
  <c r="K56" i="6"/>
  <c r="K61" i="6"/>
  <c r="K82" i="6"/>
  <c r="AD67" i="6"/>
  <c r="Q69" i="6"/>
  <c r="Q84" i="6"/>
  <c r="AA76" i="6"/>
  <c r="AD76" i="6" s="1"/>
  <c r="K68" i="6"/>
  <c r="N79" i="6"/>
  <c r="O79" i="6" s="1"/>
  <c r="K84" i="6"/>
  <c r="Q66" i="6"/>
  <c r="Q77" i="6"/>
  <c r="AE84" i="6"/>
  <c r="AF84" i="6" s="1"/>
  <c r="K75" i="6"/>
  <c r="O81" i="6"/>
  <c r="L85" i="6"/>
  <c r="P85" i="6"/>
  <c r="Q74" i="6"/>
  <c r="Q82" i="6"/>
  <c r="AC79" i="6"/>
  <c r="AD79" i="6" s="1"/>
  <c r="K81" i="6"/>
  <c r="M63" i="6"/>
  <c r="Q67" i="6"/>
  <c r="AC71" i="6"/>
  <c r="AD71" i="6" s="1"/>
  <c r="AE63" i="6"/>
  <c r="AG63" i="6" s="1"/>
  <c r="AH63" i="6" s="1"/>
  <c r="N75" i="6"/>
  <c r="O75" i="6" s="1"/>
  <c r="AE74" i="6"/>
  <c r="AF74" i="6" s="1"/>
  <c r="AE68" i="6"/>
  <c r="AG68" i="6" s="1"/>
  <c r="AH68" i="6" s="1"/>
  <c r="F69" i="6"/>
  <c r="F77" i="6"/>
  <c r="E77" i="6"/>
  <c r="G84" i="6"/>
  <c r="AE66" i="6"/>
  <c r="H85" i="6"/>
  <c r="AE64" i="6"/>
  <c r="AG84" i="6"/>
  <c r="AH84" i="6" s="1"/>
  <c r="AD78" i="6"/>
  <c r="AE72" i="6"/>
  <c r="E78" i="6"/>
  <c r="E70" i="6"/>
  <c r="F78" i="6"/>
  <c r="D85" i="6"/>
  <c r="F70" i="6"/>
  <c r="AD82" i="6"/>
  <c r="B85" i="6"/>
  <c r="AD63" i="6"/>
  <c r="AA69" i="6"/>
  <c r="AA77" i="6"/>
  <c r="AD70" i="6"/>
  <c r="I77" i="6"/>
  <c r="E69" i="6"/>
  <c r="I69" i="6"/>
  <c r="AE82" i="6" l="1"/>
  <c r="AG82" i="6" s="1"/>
  <c r="AH82" i="6" s="1"/>
  <c r="AD64" i="6"/>
  <c r="K16" i="3"/>
  <c r="C17" i="3"/>
  <c r="F46" i="2"/>
  <c r="D46" i="2"/>
  <c r="B36" i="2"/>
  <c r="E36" i="2" s="1"/>
  <c r="D17" i="3"/>
  <c r="I16" i="3"/>
  <c r="O62" i="6"/>
  <c r="O58" i="6"/>
  <c r="AE58" i="6"/>
  <c r="AG58" i="6" s="1"/>
  <c r="AE11" i="6"/>
  <c r="AG11" i="6" s="1"/>
  <c r="AG42" i="6"/>
  <c r="AH42" i="6" s="1"/>
  <c r="AF83" i="6"/>
  <c r="AE9" i="6"/>
  <c r="AF9" i="6" s="1"/>
  <c r="F29" i="6"/>
  <c r="AD65" i="6"/>
  <c r="AG72" i="6"/>
  <c r="AH72" i="6" s="1"/>
  <c r="G73" i="6"/>
  <c r="AG18" i="6"/>
  <c r="AH18" i="6" s="1"/>
  <c r="AF18" i="6"/>
  <c r="G65" i="6"/>
  <c r="AG52" i="6"/>
  <c r="AH52" i="6" s="1"/>
  <c r="AG20" i="6"/>
  <c r="AH20" i="6" s="1"/>
  <c r="AF31" i="6"/>
  <c r="AG43" i="6"/>
  <c r="AH43" i="6" s="1"/>
  <c r="AF35" i="6"/>
  <c r="AE19" i="6"/>
  <c r="AF19" i="6" s="1"/>
  <c r="H40" i="3"/>
  <c r="AF17" i="6"/>
  <c r="Z86" i="6"/>
  <c r="D39" i="8"/>
  <c r="D17" i="2" s="1"/>
  <c r="H39" i="8"/>
  <c r="I92" i="1"/>
  <c r="AG27" i="6"/>
  <c r="AH27" i="6" s="1"/>
  <c r="AE71" i="6"/>
  <c r="AF71" i="6" s="1"/>
  <c r="G55" i="6"/>
  <c r="AH65" i="6"/>
  <c r="AE75" i="6"/>
  <c r="AF75" i="6" s="1"/>
  <c r="AE77" i="6"/>
  <c r="AG77" i="6" s="1"/>
  <c r="AE69" i="6"/>
  <c r="AG69" i="6" s="1"/>
  <c r="AH69" i="6" s="1"/>
  <c r="B27" i="2"/>
  <c r="B18" i="2"/>
  <c r="B26" i="2" s="1"/>
  <c r="D18" i="2"/>
  <c r="D26" i="2" s="1"/>
  <c r="B35" i="2"/>
  <c r="F35" i="2" s="1"/>
  <c r="AF36" i="6"/>
  <c r="B7" i="2"/>
  <c r="B6" i="2" s="1"/>
  <c r="B34" i="2"/>
  <c r="AD28" i="6"/>
  <c r="D37" i="2"/>
  <c r="F37" i="2" s="1"/>
  <c r="D7" i="2"/>
  <c r="D6" i="2" s="1"/>
  <c r="I93" i="1"/>
  <c r="I94" i="1"/>
  <c r="I91" i="1"/>
  <c r="M29" i="6"/>
  <c r="AG48" i="6"/>
  <c r="AH48" i="6" s="1"/>
  <c r="AF28" i="6"/>
  <c r="X29" i="6"/>
  <c r="X54" i="6" s="1"/>
  <c r="D89" i="8"/>
  <c r="AG32" i="6"/>
  <c r="AH32" i="6" s="1"/>
  <c r="F6" i="1"/>
  <c r="F67" i="1" s="1"/>
  <c r="D35" i="3"/>
  <c r="E34" i="3" s="1"/>
  <c r="K34" i="3"/>
  <c r="I34" i="3"/>
  <c r="G25" i="3"/>
  <c r="D19" i="8"/>
  <c r="B17" i="2" s="1"/>
  <c r="K25" i="3"/>
  <c r="B5" i="2"/>
  <c r="C7" i="2" s="1"/>
  <c r="D12" i="3"/>
  <c r="K12" i="3" s="1"/>
  <c r="B88" i="8"/>
  <c r="D88" i="8" s="1"/>
  <c r="AG40" i="6"/>
  <c r="AH40" i="6" s="1"/>
  <c r="AE16" i="6"/>
  <c r="AG16" i="6" s="1"/>
  <c r="AH16" i="6" s="1"/>
  <c r="H43" i="3"/>
  <c r="J86" i="6"/>
  <c r="K20" i="6" s="1"/>
  <c r="H92" i="8"/>
  <c r="D64" i="2" s="1"/>
  <c r="AG47" i="6"/>
  <c r="AH47" i="6" s="1"/>
  <c r="K54" i="6"/>
  <c r="AF41" i="6"/>
  <c r="AD50" i="6"/>
  <c r="AF33" i="6"/>
  <c r="AG33" i="6"/>
  <c r="AH33" i="6" s="1"/>
  <c r="T54" i="6"/>
  <c r="T86" i="6" s="1"/>
  <c r="D9" i="7" s="1"/>
  <c r="M54" i="6"/>
  <c r="V53" i="6"/>
  <c r="AC53" i="6"/>
  <c r="AD53" i="6" s="1"/>
  <c r="U53" i="6"/>
  <c r="I54" i="6"/>
  <c r="H86" i="6"/>
  <c r="E37" i="2"/>
  <c r="F43" i="2"/>
  <c r="H129" i="8"/>
  <c r="I20" i="3"/>
  <c r="G20" i="3"/>
  <c r="J37" i="3"/>
  <c r="J40" i="3" s="1"/>
  <c r="B15" i="2"/>
  <c r="C17" i="2" s="1"/>
  <c r="B92" i="8"/>
  <c r="B126" i="8" s="1"/>
  <c r="B37" i="3"/>
  <c r="B40" i="3" s="1"/>
  <c r="B43" i="3" s="1"/>
  <c r="B10" i="3"/>
  <c r="B13" i="3" s="1"/>
  <c r="B64" i="2"/>
  <c r="B63" i="2" s="1"/>
  <c r="AH58" i="6"/>
  <c r="AD15" i="6"/>
  <c r="AH61" i="6"/>
  <c r="AD61" i="6"/>
  <c r="AF25" i="6"/>
  <c r="AG25" i="6"/>
  <c r="AH25" i="6" s="1"/>
  <c r="M62" i="6"/>
  <c r="Q62" i="6"/>
  <c r="AE22" i="6"/>
  <c r="AF22" i="6" s="1"/>
  <c r="AG6" i="6"/>
  <c r="AH6" i="6" s="1"/>
  <c r="AD6" i="6"/>
  <c r="AC29" i="6"/>
  <c r="G24" i="6"/>
  <c r="AE24" i="6"/>
  <c r="AF14" i="6"/>
  <c r="AG14" i="6"/>
  <c r="Y62" i="6"/>
  <c r="V62" i="6"/>
  <c r="W62" i="6" s="1"/>
  <c r="AH59" i="6"/>
  <c r="AF20" i="6"/>
  <c r="G15" i="6"/>
  <c r="AE15" i="6"/>
  <c r="G29" i="6"/>
  <c r="W7" i="6"/>
  <c r="AE7" i="6"/>
  <c r="I29" i="6"/>
  <c r="AD59" i="6"/>
  <c r="AG28" i="6"/>
  <c r="AH28" i="6" s="1"/>
  <c r="AD9" i="6"/>
  <c r="F62" i="6"/>
  <c r="G62" i="6" s="1"/>
  <c r="I62" i="6"/>
  <c r="AG22" i="6"/>
  <c r="AH22" i="6" s="1"/>
  <c r="AD22" i="6"/>
  <c r="AD19" i="6"/>
  <c r="AG19" i="6"/>
  <c r="AH19" i="6" s="1"/>
  <c r="AA62" i="6"/>
  <c r="E29" i="6"/>
  <c r="D54" i="6"/>
  <c r="AF58" i="6"/>
  <c r="AH11" i="6"/>
  <c r="AA10" i="6"/>
  <c r="AD11" i="6"/>
  <c r="AF11" i="6"/>
  <c r="BM25" i="5"/>
  <c r="W25" i="5"/>
  <c r="BJ68" i="5"/>
  <c r="BG83" i="5"/>
  <c r="BL68" i="5"/>
  <c r="BP68" i="5"/>
  <c r="BN68" i="5"/>
  <c r="AL28" i="5"/>
  <c r="AM28" i="5" s="1"/>
  <c r="C21" i="3"/>
  <c r="C23" i="3" s="1"/>
  <c r="D19" i="3"/>
  <c r="D37" i="3" s="1"/>
  <c r="M83" i="5"/>
  <c r="L84" i="5"/>
  <c r="C76" i="2"/>
  <c r="C84" i="2"/>
  <c r="C81" i="2"/>
  <c r="C88" i="2"/>
  <c r="C89" i="2"/>
  <c r="C78" i="2"/>
  <c r="C39" i="3"/>
  <c r="D9" i="3"/>
  <c r="BO16" i="5"/>
  <c r="BP16" i="5" s="1"/>
  <c r="R83" i="5"/>
  <c r="Y69" i="5"/>
  <c r="Y43" i="5"/>
  <c r="W43" i="5"/>
  <c r="U43" i="5"/>
  <c r="BG43" i="5"/>
  <c r="R49" i="5"/>
  <c r="G8" i="5"/>
  <c r="F28" i="5"/>
  <c r="G28" i="5" s="1"/>
  <c r="V62" i="5"/>
  <c r="Y62" i="5"/>
  <c r="X83" i="5"/>
  <c r="Y83" i="5" s="1"/>
  <c r="AC52" i="5"/>
  <c r="Z84" i="5"/>
  <c r="AG52" i="5"/>
  <c r="AA52" i="5"/>
  <c r="J23" i="3"/>
  <c r="J41" i="3"/>
  <c r="K22" i="3"/>
  <c r="C66" i="5"/>
  <c r="C67" i="5"/>
  <c r="C59" i="5"/>
  <c r="C38" i="5"/>
  <c r="C25" i="5"/>
  <c r="C11" i="5"/>
  <c r="C71" i="5"/>
  <c r="C80" i="5"/>
  <c r="C84" i="5"/>
  <c r="C54" i="5"/>
  <c r="C40" i="5"/>
  <c r="C21" i="5"/>
  <c r="C77" i="5"/>
  <c r="C62" i="5"/>
  <c r="C37" i="5"/>
  <c r="C24" i="5"/>
  <c r="C43" i="5"/>
  <c r="C33" i="5"/>
  <c r="C15" i="5"/>
  <c r="C47" i="5"/>
  <c r="C69" i="5"/>
  <c r="C76" i="5"/>
  <c r="C29" i="5"/>
  <c r="C23" i="5"/>
  <c r="C35" i="5"/>
  <c r="C57" i="5"/>
  <c r="C14" i="5"/>
  <c r="C28" i="5"/>
  <c r="C52" i="5"/>
  <c r="B87" i="5"/>
  <c r="C61" i="5"/>
  <c r="C68" i="5"/>
  <c r="C73" i="5"/>
  <c r="C22" i="5"/>
  <c r="C46" i="5"/>
  <c r="C53" i="5"/>
  <c r="C13" i="5"/>
  <c r="C83" i="5"/>
  <c r="C5" i="5"/>
  <c r="C72" i="5"/>
  <c r="C65" i="5"/>
  <c r="C56" i="5"/>
  <c r="C20" i="5"/>
  <c r="C30" i="5"/>
  <c r="C50" i="5"/>
  <c r="C10" i="5"/>
  <c r="C60" i="5"/>
  <c r="C79" i="5"/>
  <c r="C64" i="5"/>
  <c r="C42" i="5"/>
  <c r="C48" i="5"/>
  <c r="C19" i="5"/>
  <c r="C31" i="5"/>
  <c r="C44" i="5"/>
  <c r="C9" i="5"/>
  <c r="C49" i="5"/>
  <c r="C82" i="5"/>
  <c r="C78" i="5"/>
  <c r="C39" i="5"/>
  <c r="C27" i="5"/>
  <c r="C58" i="5"/>
  <c r="C55" i="5"/>
  <c r="C17" i="5"/>
  <c r="C7" i="5"/>
  <c r="C26" i="5"/>
  <c r="C6" i="5"/>
  <c r="C32" i="5"/>
  <c r="C63" i="5"/>
  <c r="C12" i="5"/>
  <c r="C74" i="5"/>
  <c r="C51" i="5"/>
  <c r="C8" i="5"/>
  <c r="C75" i="5"/>
  <c r="C81" i="5"/>
  <c r="C70" i="5"/>
  <c r="C41" i="5"/>
  <c r="C34" i="5"/>
  <c r="C36" i="5"/>
  <c r="C45" i="5"/>
  <c r="C16" i="5"/>
  <c r="BJ76" i="5"/>
  <c r="BL76" i="5"/>
  <c r="BN76" i="5"/>
  <c r="AM56" i="5"/>
  <c r="BM56" i="5"/>
  <c r="BN56" i="5" s="1"/>
  <c r="C127" i="8"/>
  <c r="D127" i="8" s="1"/>
  <c r="D93" i="8"/>
  <c r="BO59" i="5"/>
  <c r="BP59" i="5" s="1"/>
  <c r="BN59" i="5"/>
  <c r="V66" i="5"/>
  <c r="W66" i="5" s="1"/>
  <c r="Y66" i="5"/>
  <c r="AU36" i="5"/>
  <c r="BM36" i="5"/>
  <c r="BM62" i="5"/>
  <c r="G62" i="5"/>
  <c r="F83" i="5"/>
  <c r="G83" i="5" s="1"/>
  <c r="BK28" i="5"/>
  <c r="AE81" i="6"/>
  <c r="AG81" i="6" s="1"/>
  <c r="AH81" i="6" s="1"/>
  <c r="W57" i="6"/>
  <c r="AE57" i="6"/>
  <c r="AF57" i="6" s="1"/>
  <c r="V41" i="5"/>
  <c r="Y41" i="5"/>
  <c r="BM45" i="5"/>
  <c r="W45" i="5"/>
  <c r="V80" i="5"/>
  <c r="W80" i="5" s="1"/>
  <c r="U80" i="5"/>
  <c r="U49" i="5"/>
  <c r="V17" i="5"/>
  <c r="Y17" i="5"/>
  <c r="BL27" i="5"/>
  <c r="BO27" i="5"/>
  <c r="BP27" i="5" s="1"/>
  <c r="BM21" i="5"/>
  <c r="BO72" i="5"/>
  <c r="BP72" i="5" s="1"/>
  <c r="BN72" i="5"/>
  <c r="BL73" i="5"/>
  <c r="AO60" i="5"/>
  <c r="AL60" i="5"/>
  <c r="AM60" i="5" s="1"/>
  <c r="BL46" i="5"/>
  <c r="BO9" i="5"/>
  <c r="BP9" i="5" s="1"/>
  <c r="BN9" i="5"/>
  <c r="C10" i="3"/>
  <c r="C13" i="3" s="1"/>
  <c r="BN11" i="5"/>
  <c r="BO11" i="5"/>
  <c r="BP11" i="5" s="1"/>
  <c r="AM62" i="5"/>
  <c r="AL83" i="5"/>
  <c r="AM83" i="5" s="1"/>
  <c r="V85" i="6"/>
  <c r="W85" i="6" s="1"/>
  <c r="AD57" i="6"/>
  <c r="V50" i="5"/>
  <c r="Y50" i="5"/>
  <c r="BN6" i="5"/>
  <c r="BO6" i="5"/>
  <c r="BP6" i="5" s="1"/>
  <c r="V34" i="5"/>
  <c r="Y34" i="5"/>
  <c r="X49" i="5"/>
  <c r="AU27" i="5"/>
  <c r="BM27" i="5"/>
  <c r="BN27" i="5" s="1"/>
  <c r="U53" i="5"/>
  <c r="BG53" i="5"/>
  <c r="R60" i="5"/>
  <c r="O23" i="6"/>
  <c r="AE23" i="6"/>
  <c r="F60" i="5"/>
  <c r="H84" i="5"/>
  <c r="I60" i="5"/>
  <c r="D84" i="5"/>
  <c r="E60" i="5"/>
  <c r="Y5" i="5"/>
  <c r="BG5" i="5"/>
  <c r="BL5" i="5" s="1"/>
  <c r="BK49" i="5"/>
  <c r="BL30" i="5"/>
  <c r="V69" i="5"/>
  <c r="W69" i="5" s="1"/>
  <c r="I80" i="1"/>
  <c r="F79" i="1"/>
  <c r="BL39" i="5"/>
  <c r="BJ39" i="5"/>
  <c r="BJ83" i="5"/>
  <c r="AM46" i="5"/>
  <c r="BM46" i="5"/>
  <c r="BN46" i="5" s="1"/>
  <c r="AH52" i="5"/>
  <c r="C37" i="3"/>
  <c r="J28" i="5"/>
  <c r="M10" i="5"/>
  <c r="O10" i="5"/>
  <c r="Q10" i="5"/>
  <c r="AG60" i="6"/>
  <c r="AH60" i="6" s="1"/>
  <c r="AF60" i="6"/>
  <c r="G7" i="3"/>
  <c r="I7" i="3"/>
  <c r="D10" i="3"/>
  <c r="K7" i="3"/>
  <c r="AD55" i="6"/>
  <c r="AG55" i="6"/>
  <c r="AC62" i="6"/>
  <c r="W30" i="5"/>
  <c r="BM30" i="5"/>
  <c r="BO30" i="5" s="1"/>
  <c r="BP30" i="5" s="1"/>
  <c r="N49" i="5"/>
  <c r="O49" i="5" s="1"/>
  <c r="Q49" i="5"/>
  <c r="P52" i="5"/>
  <c r="BO15" i="5"/>
  <c r="BP15" i="5" s="1"/>
  <c r="BL15" i="5"/>
  <c r="AO49" i="5"/>
  <c r="AL49" i="5"/>
  <c r="AM49" i="5" s="1"/>
  <c r="V53" i="5"/>
  <c r="Y53" i="5"/>
  <c r="X60" i="5"/>
  <c r="O26" i="6"/>
  <c r="AE26" i="6"/>
  <c r="V58" i="5"/>
  <c r="BK58" i="5"/>
  <c r="U58" i="5"/>
  <c r="G29" i="3"/>
  <c r="G41" i="3" s="1"/>
  <c r="K29" i="3"/>
  <c r="I29" i="3"/>
  <c r="D41" i="3"/>
  <c r="I41" i="3" s="1"/>
  <c r="BJ35" i="5"/>
  <c r="BL35" i="5"/>
  <c r="AD87" i="5"/>
  <c r="AE84" i="5"/>
  <c r="AM73" i="5"/>
  <c r="BM73" i="5"/>
  <c r="BN73" i="5" s="1"/>
  <c r="BK83" i="5"/>
  <c r="BL83" i="5" s="1"/>
  <c r="BL65" i="5"/>
  <c r="BL59" i="5"/>
  <c r="BO10" i="5"/>
  <c r="B16" i="2"/>
  <c r="B25" i="2"/>
  <c r="BP76" i="5"/>
  <c r="W38" i="5"/>
  <c r="BM38" i="5"/>
  <c r="Y78" i="5"/>
  <c r="V78" i="5"/>
  <c r="W78" i="5" s="1"/>
  <c r="G66" i="5"/>
  <c r="BM66" i="5"/>
  <c r="N83" i="5"/>
  <c r="O83" i="5" s="1"/>
  <c r="BM35" i="5"/>
  <c r="W35" i="5"/>
  <c r="AE52" i="5"/>
  <c r="AF49" i="6"/>
  <c r="AG49" i="6"/>
  <c r="AH49" i="6" s="1"/>
  <c r="BO70" i="5"/>
  <c r="BP70" i="5" s="1"/>
  <c r="BN70" i="5"/>
  <c r="AM65" i="5"/>
  <c r="BM65" i="5"/>
  <c r="BN65" i="5" s="1"/>
  <c r="BL50" i="5"/>
  <c r="AJ52" i="5"/>
  <c r="AK28" i="5"/>
  <c r="BP19" i="5"/>
  <c r="BJ19" i="5"/>
  <c r="BN19" i="5"/>
  <c r="U66" i="5"/>
  <c r="T83" i="5"/>
  <c r="U83" i="5" s="1"/>
  <c r="BN39" i="5"/>
  <c r="BO39" i="5"/>
  <c r="BP39" i="5" s="1"/>
  <c r="BL41" i="5"/>
  <c r="BJ41" i="5"/>
  <c r="BM42" i="5"/>
  <c r="W42" i="5"/>
  <c r="G69" i="5"/>
  <c r="BM69" i="5"/>
  <c r="D26" i="3"/>
  <c r="BM5" i="5"/>
  <c r="BN5" i="5" s="1"/>
  <c r="W5" i="5"/>
  <c r="AK60" i="5"/>
  <c r="D25" i="2"/>
  <c r="Y26" i="5"/>
  <c r="U26" i="5"/>
  <c r="BG26" i="5"/>
  <c r="W26" i="5"/>
  <c r="BM51" i="5"/>
  <c r="W51" i="5"/>
  <c r="P54" i="6"/>
  <c r="P86" i="6" s="1"/>
  <c r="Q29" i="6"/>
  <c r="N29" i="6"/>
  <c r="O29" i="6" s="1"/>
  <c r="AU14" i="5"/>
  <c r="BM14" i="5"/>
  <c r="C129" i="8"/>
  <c r="D129" i="8" s="1"/>
  <c r="B44" i="2" s="1"/>
  <c r="D94" i="8"/>
  <c r="W10" i="6"/>
  <c r="U10" i="6"/>
  <c r="Y10" i="6"/>
  <c r="R29" i="6"/>
  <c r="C92" i="8"/>
  <c r="D13" i="8"/>
  <c r="D19" i="2" s="1"/>
  <c r="AM24" i="5"/>
  <c r="BM24" i="5"/>
  <c r="R10" i="5"/>
  <c r="Y14" i="5"/>
  <c r="BG14" i="5"/>
  <c r="W14" i="5"/>
  <c r="U14" i="5"/>
  <c r="BJ29" i="5"/>
  <c r="BP29" i="5"/>
  <c r="BN29" i="5"/>
  <c r="BG49" i="5"/>
  <c r="BL29" i="5"/>
  <c r="V8" i="5"/>
  <c r="Y8" i="5"/>
  <c r="X28" i="5"/>
  <c r="C38" i="3"/>
  <c r="C77" i="2"/>
  <c r="AO83" i="5"/>
  <c r="BK60" i="5"/>
  <c r="BO56" i="5"/>
  <c r="BP56" i="5" s="1"/>
  <c r="BL56" i="5"/>
  <c r="AN52" i="5"/>
  <c r="AO28" i="5"/>
  <c r="G114" i="8"/>
  <c r="F45" i="2"/>
  <c r="D5" i="2"/>
  <c r="D29" i="2"/>
  <c r="E17" i="3"/>
  <c r="E15" i="3"/>
  <c r="K17" i="3"/>
  <c r="I17" i="3"/>
  <c r="E16" i="3"/>
  <c r="D42" i="3"/>
  <c r="K42" i="3" s="1"/>
  <c r="I12" i="3"/>
  <c r="G12" i="3"/>
  <c r="AF63" i="6"/>
  <c r="AG83" i="6"/>
  <c r="AH83" i="6" s="1"/>
  <c r="G77" i="6"/>
  <c r="AE80" i="6"/>
  <c r="AF80" i="6" s="1"/>
  <c r="AG71" i="6"/>
  <c r="AH71" i="6" s="1"/>
  <c r="AF65" i="6"/>
  <c r="AF68" i="6"/>
  <c r="AG74" i="6"/>
  <c r="AH74" i="6" s="1"/>
  <c r="AC85" i="6"/>
  <c r="AG73" i="6"/>
  <c r="AH73" i="6" s="1"/>
  <c r="S64" i="6"/>
  <c r="AG80" i="6"/>
  <c r="AH80" i="6" s="1"/>
  <c r="AH76" i="6"/>
  <c r="S80" i="6"/>
  <c r="AE67" i="6"/>
  <c r="AF67" i="6" s="1"/>
  <c r="S77" i="6"/>
  <c r="S84" i="6"/>
  <c r="S69" i="6"/>
  <c r="S79" i="6"/>
  <c r="S71" i="6"/>
  <c r="S12" i="6"/>
  <c r="S58" i="6"/>
  <c r="S13" i="6"/>
  <c r="S70" i="6"/>
  <c r="S18" i="6"/>
  <c r="S65" i="6"/>
  <c r="S5" i="6"/>
  <c r="S83" i="6"/>
  <c r="S67" i="6"/>
  <c r="S56" i="6"/>
  <c r="S39" i="6"/>
  <c r="S68" i="6"/>
  <c r="AF82" i="6"/>
  <c r="Y85" i="6"/>
  <c r="S82" i="6"/>
  <c r="S75" i="6"/>
  <c r="U85" i="6"/>
  <c r="S76" i="6"/>
  <c r="S66" i="6"/>
  <c r="S74" i="6"/>
  <c r="K28" i="6"/>
  <c r="K17" i="6"/>
  <c r="L86" i="6"/>
  <c r="M85" i="6"/>
  <c r="AE79" i="6"/>
  <c r="B8" i="7"/>
  <c r="B58" i="2" s="1"/>
  <c r="K58" i="6"/>
  <c r="K22" i="6"/>
  <c r="K62" i="6"/>
  <c r="Q85" i="6"/>
  <c r="N85" i="6"/>
  <c r="O85" i="6" s="1"/>
  <c r="AF76" i="6"/>
  <c r="G69" i="6"/>
  <c r="AF72" i="6"/>
  <c r="AG64" i="6"/>
  <c r="AH64" i="6" s="1"/>
  <c r="AF64" i="6"/>
  <c r="AG66" i="6"/>
  <c r="AH66" i="6" s="1"/>
  <c r="AF66" i="6"/>
  <c r="G70" i="6"/>
  <c r="AE70" i="6"/>
  <c r="AE78" i="6"/>
  <c r="G78" i="6"/>
  <c r="F85" i="6"/>
  <c r="G85" i="6" s="1"/>
  <c r="C56" i="6"/>
  <c r="E85" i="6"/>
  <c r="C28" i="6"/>
  <c r="C32" i="6"/>
  <c r="C16" i="6"/>
  <c r="C80" i="6"/>
  <c r="C11" i="6"/>
  <c r="C25" i="6"/>
  <c r="C51" i="6"/>
  <c r="B86" i="6"/>
  <c r="C29" i="6" s="1"/>
  <c r="C27" i="6"/>
  <c r="C42" i="6"/>
  <c r="C14" i="6"/>
  <c r="C8" i="6"/>
  <c r="C34" i="6"/>
  <c r="C12" i="6"/>
  <c r="C43" i="6"/>
  <c r="C6" i="6"/>
  <c r="C75" i="6"/>
  <c r="C46" i="6"/>
  <c r="C13" i="6"/>
  <c r="C18" i="6"/>
  <c r="C76" i="6"/>
  <c r="C57" i="6"/>
  <c r="C33" i="6"/>
  <c r="C10" i="6"/>
  <c r="C5" i="6"/>
  <c r="I85" i="6"/>
  <c r="C17" i="6"/>
  <c r="C47" i="6"/>
  <c r="C45" i="6"/>
  <c r="C26" i="6"/>
  <c r="AF69" i="6"/>
  <c r="AD69" i="6"/>
  <c r="AH77" i="6"/>
  <c r="AF77" i="6"/>
  <c r="AD77" i="6"/>
  <c r="AA85" i="6"/>
  <c r="F36" i="2" l="1"/>
  <c r="I35" i="3"/>
  <c r="K35" i="3"/>
  <c r="E35" i="2"/>
  <c r="E35" i="3"/>
  <c r="D13" i="3"/>
  <c r="E12" i="3" s="1"/>
  <c r="E33" i="3"/>
  <c r="B32" i="2"/>
  <c r="C36" i="2" s="1"/>
  <c r="AG75" i="6"/>
  <c r="AH75" i="6" s="1"/>
  <c r="AG9" i="6"/>
  <c r="AH9" i="6" s="1"/>
  <c r="V29" i="6"/>
  <c r="H7" i="7"/>
  <c r="D57" i="2" s="1"/>
  <c r="C20" i="2"/>
  <c r="AF16" i="6"/>
  <c r="F34" i="2"/>
  <c r="B121" i="8"/>
  <c r="D121" i="8" s="1"/>
  <c r="E34" i="2"/>
  <c r="B42" i="2"/>
  <c r="F42" i="2" s="1"/>
  <c r="D44" i="2"/>
  <c r="D41" i="2" s="1"/>
  <c r="I67" i="1"/>
  <c r="I68" i="1" s="1"/>
  <c r="F68" i="1"/>
  <c r="K86" i="6"/>
  <c r="I6" i="1"/>
  <c r="C5" i="2"/>
  <c r="C12" i="2"/>
  <c r="C9" i="2"/>
  <c r="C10" i="2"/>
  <c r="C11" i="2"/>
  <c r="C8" i="2"/>
  <c r="C6" i="2"/>
  <c r="C16" i="2"/>
  <c r="C21" i="2"/>
  <c r="C18" i="2"/>
  <c r="C87" i="2"/>
  <c r="C19" i="2"/>
  <c r="C15" i="2"/>
  <c r="C13" i="2"/>
  <c r="AG57" i="6"/>
  <c r="AH57" i="6" s="1"/>
  <c r="AD62" i="6"/>
  <c r="C48" i="6"/>
  <c r="C49" i="6"/>
  <c r="C44" i="6"/>
  <c r="C41" i="6"/>
  <c r="C35" i="6"/>
  <c r="C36" i="6"/>
  <c r="C31" i="6"/>
  <c r="C40" i="6"/>
  <c r="C37" i="6"/>
  <c r="C38" i="6"/>
  <c r="C30" i="6"/>
  <c r="C39" i="6"/>
  <c r="C53" i="6"/>
  <c r="V54" i="6"/>
  <c r="C50" i="6"/>
  <c r="AE53" i="6"/>
  <c r="W53" i="6"/>
  <c r="C52" i="6"/>
  <c r="X86" i="6"/>
  <c r="J43" i="3"/>
  <c r="C34" i="2"/>
  <c r="C32" i="2"/>
  <c r="C37" i="2"/>
  <c r="C35" i="2"/>
  <c r="C33" i="2"/>
  <c r="C21" i="6"/>
  <c r="AH14" i="6"/>
  <c r="AG10" i="6"/>
  <c r="C63" i="6"/>
  <c r="C82" i="6"/>
  <c r="C65" i="6"/>
  <c r="C67" i="6"/>
  <c r="AF15" i="6"/>
  <c r="AG15" i="6"/>
  <c r="AH15" i="6" s="1"/>
  <c r="AG24" i="6"/>
  <c r="AH24" i="6" s="1"/>
  <c r="AF24" i="6"/>
  <c r="AC54" i="6"/>
  <c r="AC86" i="6" s="1"/>
  <c r="E54" i="6"/>
  <c r="F54" i="6"/>
  <c r="G54" i="6" s="1"/>
  <c r="D86" i="6"/>
  <c r="E86" i="6" s="1"/>
  <c r="AF7" i="6"/>
  <c r="AG7" i="6"/>
  <c r="AH7" i="6" s="1"/>
  <c r="C69" i="6"/>
  <c r="C64" i="6"/>
  <c r="C66" i="6"/>
  <c r="C81" i="6"/>
  <c r="C74" i="6"/>
  <c r="C71" i="6"/>
  <c r="D27" i="2"/>
  <c r="D24" i="2" s="1"/>
  <c r="F24" i="2" s="1"/>
  <c r="D15" i="2"/>
  <c r="E19" i="2" s="1"/>
  <c r="BO14" i="5"/>
  <c r="BP14" i="5" s="1"/>
  <c r="BN14" i="5"/>
  <c r="D38" i="3"/>
  <c r="D28" i="3"/>
  <c r="G26" i="3"/>
  <c r="I26" i="3"/>
  <c r="K26" i="3"/>
  <c r="B24" i="2"/>
  <c r="B23" i="2"/>
  <c r="BO65" i="5"/>
  <c r="BP65" i="5" s="1"/>
  <c r="BM58" i="5"/>
  <c r="BN58" i="5" s="1"/>
  <c r="W58" i="5"/>
  <c r="AH55" i="6"/>
  <c r="AG62" i="6"/>
  <c r="F78" i="1"/>
  <c r="F128" i="1" s="1"/>
  <c r="I128" i="1" s="1"/>
  <c r="I79" i="1"/>
  <c r="I78" i="1" s="1"/>
  <c r="BM34" i="5"/>
  <c r="W34" i="5"/>
  <c r="BO46" i="5"/>
  <c r="BP46" i="5" s="1"/>
  <c r="BO36" i="5"/>
  <c r="BP36" i="5" s="1"/>
  <c r="BN36" i="5"/>
  <c r="BN25" i="5"/>
  <c r="BO25" i="5"/>
  <c r="BP25" i="5" s="1"/>
  <c r="BN21" i="5"/>
  <c r="BO21" i="5"/>
  <c r="BP21" i="5" s="1"/>
  <c r="Y29" i="6"/>
  <c r="U29" i="6"/>
  <c r="R54" i="6"/>
  <c r="W29" i="6"/>
  <c r="BL26" i="5"/>
  <c r="BJ26" i="5"/>
  <c r="BP26" i="5"/>
  <c r="BN26" i="5"/>
  <c r="D16" i="2"/>
  <c r="BO35" i="5"/>
  <c r="BP35" i="5" s="1"/>
  <c r="BN35" i="5"/>
  <c r="P84" i="5"/>
  <c r="N52" i="5"/>
  <c r="X52" i="5"/>
  <c r="Q52" i="5"/>
  <c r="D87" i="5"/>
  <c r="E84" i="5"/>
  <c r="BJ53" i="5"/>
  <c r="BL53" i="5"/>
  <c r="BG60" i="5"/>
  <c r="BO45" i="5"/>
  <c r="BP45" i="5" s="1"/>
  <c r="BN45" i="5"/>
  <c r="BK52" i="5"/>
  <c r="AH84" i="5"/>
  <c r="AI52" i="5" s="1"/>
  <c r="AF81" i="6"/>
  <c r="BG10" i="5"/>
  <c r="BL14" i="5"/>
  <c r="BJ14" i="5"/>
  <c r="BJ10" i="5" s="1"/>
  <c r="BO38" i="5"/>
  <c r="BP38" i="5" s="1"/>
  <c r="BN38" i="5"/>
  <c r="BP10" i="5"/>
  <c r="V60" i="5"/>
  <c r="W60" i="5" s="1"/>
  <c r="Y60" i="5"/>
  <c r="I37" i="3"/>
  <c r="K37" i="3"/>
  <c r="AA40" i="5"/>
  <c r="AA54" i="5"/>
  <c r="AA37" i="5"/>
  <c r="AA53" i="5"/>
  <c r="AC84" i="5"/>
  <c r="AA79" i="5"/>
  <c r="AA64" i="5"/>
  <c r="Z87" i="5"/>
  <c r="AA36" i="5"/>
  <c r="AA49" i="5"/>
  <c r="AA33" i="5"/>
  <c r="AA83" i="5"/>
  <c r="AA73" i="5"/>
  <c r="AA63" i="5"/>
  <c r="AA10" i="5"/>
  <c r="AG84" i="5"/>
  <c r="AA48" i="5"/>
  <c r="AA32" i="5"/>
  <c r="AA45" i="5"/>
  <c r="AA29" i="5"/>
  <c r="AA67" i="5"/>
  <c r="AA19" i="5"/>
  <c r="AA74" i="5"/>
  <c r="AA61" i="5"/>
  <c r="AA44" i="5"/>
  <c r="AA58" i="5"/>
  <c r="AA41" i="5"/>
  <c r="AA57" i="5"/>
  <c r="AA70" i="5"/>
  <c r="AA76" i="5"/>
  <c r="AA80" i="5"/>
  <c r="AA12" i="5"/>
  <c r="AA56" i="5"/>
  <c r="AA55" i="5"/>
  <c r="AA68" i="5"/>
  <c r="AA51" i="5"/>
  <c r="AA50" i="5"/>
  <c r="AA71" i="5"/>
  <c r="AA47" i="5"/>
  <c r="AA75" i="5"/>
  <c r="AA82" i="5"/>
  <c r="AA60" i="5"/>
  <c r="AA46" i="5"/>
  <c r="AA43" i="5"/>
  <c r="AA78" i="5"/>
  <c r="AA66" i="5"/>
  <c r="AA42" i="5"/>
  <c r="AA39" i="5"/>
  <c r="AA62" i="5"/>
  <c r="AA72" i="5"/>
  <c r="AA34" i="5"/>
  <c r="AA31" i="5"/>
  <c r="AA65" i="5"/>
  <c r="AA69" i="5"/>
  <c r="AA59" i="5"/>
  <c r="AA81" i="5"/>
  <c r="AA84" i="5"/>
  <c r="AA77" i="5"/>
  <c r="AA35" i="5"/>
  <c r="AA28" i="5"/>
  <c r="AA38" i="5"/>
  <c r="AA30" i="5"/>
  <c r="AA29" i="6"/>
  <c r="AD29" i="6" s="1"/>
  <c r="AD10" i="6"/>
  <c r="BM8" i="5"/>
  <c r="BM28" i="5" s="1"/>
  <c r="W8" i="5"/>
  <c r="BN69" i="5"/>
  <c r="BO69" i="5"/>
  <c r="BP69" i="5" s="1"/>
  <c r="BJ49" i="5"/>
  <c r="BJ50" i="5" s="1"/>
  <c r="BN42" i="5"/>
  <c r="BO42" i="5"/>
  <c r="BP42" i="5" s="1"/>
  <c r="I10" i="3"/>
  <c r="K10" i="3"/>
  <c r="I84" i="5"/>
  <c r="H87" i="5"/>
  <c r="BM50" i="5"/>
  <c r="W50" i="5"/>
  <c r="BM41" i="5"/>
  <c r="W41" i="5"/>
  <c r="BO5" i="5"/>
  <c r="BP5" i="5" s="1"/>
  <c r="BL43" i="5"/>
  <c r="BJ43" i="5"/>
  <c r="BP43" i="5"/>
  <c r="BN43" i="5"/>
  <c r="K9" i="3"/>
  <c r="G9" i="3"/>
  <c r="G39" i="3" s="1"/>
  <c r="I9" i="3"/>
  <c r="D39" i="3"/>
  <c r="D40" i="3" s="1"/>
  <c r="L87" i="5"/>
  <c r="R28" i="5"/>
  <c r="U10" i="5"/>
  <c r="Y10" i="5"/>
  <c r="W10" i="5"/>
  <c r="N54" i="6"/>
  <c r="Q54" i="6"/>
  <c r="V28" i="5"/>
  <c r="W53" i="5"/>
  <c r="BM53" i="5"/>
  <c r="BN30" i="5"/>
  <c r="Q28" i="5"/>
  <c r="J52" i="5"/>
  <c r="M28" i="5"/>
  <c r="O28" i="5"/>
  <c r="BL49" i="5"/>
  <c r="G60" i="5"/>
  <c r="F84" i="5"/>
  <c r="BM17" i="5"/>
  <c r="W17" i="5"/>
  <c r="T84" i="5"/>
  <c r="C126" i="8"/>
  <c r="D126" i="8" s="1"/>
  <c r="D92" i="8"/>
  <c r="AG26" i="6"/>
  <c r="AH26" i="6" s="1"/>
  <c r="AF26" i="6"/>
  <c r="C72" i="6"/>
  <c r="C23" i="6"/>
  <c r="C84" i="6"/>
  <c r="C73" i="6"/>
  <c r="AN84" i="5"/>
  <c r="AO84" i="5" s="1"/>
  <c r="AL52" i="5"/>
  <c r="AO52" i="5"/>
  <c r="BN24" i="5"/>
  <c r="BO24" i="5"/>
  <c r="BP24" i="5" s="1"/>
  <c r="BN66" i="5"/>
  <c r="BO66" i="5"/>
  <c r="BP66" i="5" s="1"/>
  <c r="AG50" i="6"/>
  <c r="G10" i="3"/>
  <c r="G13" i="3" s="1"/>
  <c r="AF23" i="6"/>
  <c r="AG23" i="6"/>
  <c r="Y49" i="5"/>
  <c r="V49" i="5"/>
  <c r="W49" i="5" s="1"/>
  <c r="BO73" i="5"/>
  <c r="BP73" i="5" s="1"/>
  <c r="G19" i="3"/>
  <c r="G21" i="3" s="1"/>
  <c r="G23" i="3" s="1"/>
  <c r="K19" i="3"/>
  <c r="D21" i="3"/>
  <c r="I19" i="3"/>
  <c r="U60" i="5"/>
  <c r="C15" i="6"/>
  <c r="BN51" i="5"/>
  <c r="BO51" i="5"/>
  <c r="BP51" i="5" s="1"/>
  <c r="AK52" i="5"/>
  <c r="AJ84" i="5"/>
  <c r="AK84" i="5" s="1"/>
  <c r="BO58" i="5"/>
  <c r="BP58" i="5" s="1"/>
  <c r="BL58" i="5"/>
  <c r="C40" i="3"/>
  <c r="C43" i="3" s="1"/>
  <c r="BJ5" i="5"/>
  <c r="BM83" i="5"/>
  <c r="BN83" i="5" s="1"/>
  <c r="BN62" i="5"/>
  <c r="BO62" i="5"/>
  <c r="K41" i="3"/>
  <c r="W62" i="5"/>
  <c r="V83" i="5"/>
  <c r="W83" i="5" s="1"/>
  <c r="G126" i="8"/>
  <c r="D50" i="2" s="1"/>
  <c r="H114" i="8"/>
  <c r="D66" i="2" s="1"/>
  <c r="D63" i="2" s="1"/>
  <c r="F29" i="2"/>
  <c r="E9" i="2"/>
  <c r="F7" i="2"/>
  <c r="E10" i="2"/>
  <c r="F8" i="2"/>
  <c r="E8" i="2"/>
  <c r="F10" i="2"/>
  <c r="E7" i="2"/>
  <c r="E13" i="2"/>
  <c r="F9" i="2"/>
  <c r="F6" i="2"/>
  <c r="E5" i="2"/>
  <c r="E6" i="2"/>
  <c r="E12" i="2"/>
  <c r="F26" i="2"/>
  <c r="F28" i="2"/>
  <c r="F25" i="2"/>
  <c r="F11" i="2"/>
  <c r="E11" i="2"/>
  <c r="E10" i="3"/>
  <c r="E11" i="3"/>
  <c r="E13" i="3"/>
  <c r="E9" i="3"/>
  <c r="E7" i="3"/>
  <c r="E8" i="3"/>
  <c r="I13" i="3"/>
  <c r="G42" i="3"/>
  <c r="I42" i="3"/>
  <c r="K13" i="3"/>
  <c r="C83" i="6"/>
  <c r="C77" i="6"/>
  <c r="C70" i="6"/>
  <c r="C79" i="6"/>
  <c r="AG67" i="6"/>
  <c r="AH67" i="6" s="1"/>
  <c r="S78" i="6"/>
  <c r="AF79" i="6"/>
  <c r="AG79" i="6"/>
  <c r="AH79" i="6" s="1"/>
  <c r="D8" i="7"/>
  <c r="E8" i="7" s="1"/>
  <c r="M86" i="6"/>
  <c r="N86" i="6"/>
  <c r="H8" i="7"/>
  <c r="D58" i="2" s="1"/>
  <c r="Q86" i="6"/>
  <c r="AG78" i="6"/>
  <c r="AH78" i="6" s="1"/>
  <c r="AF78" i="6"/>
  <c r="AG70" i="6"/>
  <c r="AF70" i="6"/>
  <c r="C86" i="6"/>
  <c r="C22" i="6"/>
  <c r="C85" i="6"/>
  <c r="C61" i="6"/>
  <c r="C60" i="6"/>
  <c r="I86" i="6"/>
  <c r="C9" i="6"/>
  <c r="C55" i="6"/>
  <c r="C20" i="6"/>
  <c r="C19" i="6"/>
  <c r="C58" i="6"/>
  <c r="C59" i="6"/>
  <c r="B7" i="7"/>
  <c r="B57" i="2" s="1"/>
  <c r="C24" i="6"/>
  <c r="C54" i="6"/>
  <c r="C68" i="6"/>
  <c r="C7" i="6"/>
  <c r="C62" i="6"/>
  <c r="C78" i="6"/>
  <c r="AB5" i="6"/>
  <c r="AB75" i="6"/>
  <c r="AD85" i="6"/>
  <c r="AB12" i="6"/>
  <c r="AB13" i="6"/>
  <c r="AB18" i="6"/>
  <c r="AB80" i="6"/>
  <c r="AB56" i="6"/>
  <c r="AB76" i="6"/>
  <c r="F44" i="2" l="1"/>
  <c r="B41" i="2"/>
  <c r="C42" i="2" s="1"/>
  <c r="E42" i="2"/>
  <c r="E46" i="2"/>
  <c r="E45" i="2"/>
  <c r="E44" i="2"/>
  <c r="E43" i="2"/>
  <c r="E41" i="2"/>
  <c r="D33" i="2"/>
  <c r="D32" i="2" s="1"/>
  <c r="D23" i="2"/>
  <c r="F27" i="2"/>
  <c r="F19" i="2"/>
  <c r="H9" i="7"/>
  <c r="D59" i="2" s="1"/>
  <c r="V86" i="6"/>
  <c r="AF53" i="6"/>
  <c r="AG53" i="6"/>
  <c r="AH53" i="6" s="1"/>
  <c r="C45" i="2"/>
  <c r="C48" i="2"/>
  <c r="C41" i="2"/>
  <c r="F41" i="2"/>
  <c r="C44" i="2"/>
  <c r="C47" i="2"/>
  <c r="E49" i="2"/>
  <c r="C46" i="2"/>
  <c r="C43" i="2"/>
  <c r="B48" i="2"/>
  <c r="B47" i="2"/>
  <c r="F49" i="2"/>
  <c r="D7" i="7"/>
  <c r="E7" i="7" s="1"/>
  <c r="F86" i="6"/>
  <c r="AE10" i="6"/>
  <c r="AF10" i="6" s="1"/>
  <c r="AH10" i="6"/>
  <c r="I40" i="3"/>
  <c r="K40" i="3"/>
  <c r="D43" i="3"/>
  <c r="E42" i="3" s="1"/>
  <c r="BN41" i="5"/>
  <c r="BO41" i="5"/>
  <c r="BP41" i="5" s="1"/>
  <c r="BP62" i="5"/>
  <c r="BO83" i="5"/>
  <c r="BP83" i="5" s="1"/>
  <c r="BO53" i="5"/>
  <c r="BN53" i="5"/>
  <c r="BM60" i="5"/>
  <c r="BN60" i="5" s="1"/>
  <c r="BK84" i="5"/>
  <c r="F16" i="2"/>
  <c r="E16" i="2"/>
  <c r="U28" i="5"/>
  <c r="W28" i="5"/>
  <c r="K28" i="3"/>
  <c r="I28" i="3"/>
  <c r="D31" i="3"/>
  <c r="BN50" i="5"/>
  <c r="BO50" i="5"/>
  <c r="BP50" i="5" s="1"/>
  <c r="X84" i="5"/>
  <c r="V52" i="5"/>
  <c r="K38" i="3"/>
  <c r="I38" i="3"/>
  <c r="T87" i="5"/>
  <c r="BG28" i="5"/>
  <c r="BN28" i="5" s="1"/>
  <c r="BL10" i="5"/>
  <c r="BN10" i="5"/>
  <c r="BN8" i="5"/>
  <c r="BO8" i="5"/>
  <c r="BN17" i="5"/>
  <c r="BO17" i="5"/>
  <c r="BP17" i="5" s="1"/>
  <c r="R52" i="5"/>
  <c r="Y52" i="5" s="1"/>
  <c r="K52" i="5"/>
  <c r="J84" i="5"/>
  <c r="M52" i="5"/>
  <c r="O54" i="6"/>
  <c r="AE54" i="6"/>
  <c r="N84" i="5"/>
  <c r="O52" i="5"/>
  <c r="BO34" i="5"/>
  <c r="BP34" i="5" s="1"/>
  <c r="BN34" i="5"/>
  <c r="C29" i="2"/>
  <c r="C26" i="2"/>
  <c r="C23" i="2"/>
  <c r="C28" i="2"/>
  <c r="C27" i="2"/>
  <c r="C25" i="2"/>
  <c r="AE50" i="6"/>
  <c r="AF50" i="6" s="1"/>
  <c r="AH50" i="6"/>
  <c r="AH23" i="6"/>
  <c r="AG29" i="6"/>
  <c r="F87" i="5"/>
  <c r="G84" i="5"/>
  <c r="AI62" i="5"/>
  <c r="AI54" i="5"/>
  <c r="AI36" i="5"/>
  <c r="AI27" i="5"/>
  <c r="AI82" i="5"/>
  <c r="AI53" i="5"/>
  <c r="AI29" i="5"/>
  <c r="AI14" i="5"/>
  <c r="AI5" i="5"/>
  <c r="AI81" i="5"/>
  <c r="AI25" i="5"/>
  <c r="AI73" i="5"/>
  <c r="AI16" i="5"/>
  <c r="AI48" i="5"/>
  <c r="AI65" i="5"/>
  <c r="AI8" i="5"/>
  <c r="AI46" i="5"/>
  <c r="AI30" i="5"/>
  <c r="AI69" i="5"/>
  <c r="AI20" i="5"/>
  <c r="AI75" i="5"/>
  <c r="AI44" i="5"/>
  <c r="AI13" i="5"/>
  <c r="AI61" i="5"/>
  <c r="AI71" i="5"/>
  <c r="AI41" i="5"/>
  <c r="AI6" i="5"/>
  <c r="AI78" i="5"/>
  <c r="AI58" i="5"/>
  <c r="AI11" i="5"/>
  <c r="AI34" i="5"/>
  <c r="AI15" i="5"/>
  <c r="AI51" i="5"/>
  <c r="AI9" i="5"/>
  <c r="AI39" i="5"/>
  <c r="AI24" i="5"/>
  <c r="AI70" i="5"/>
  <c r="AI32" i="5"/>
  <c r="AI7" i="5"/>
  <c r="AI45" i="5"/>
  <c r="AI76" i="5"/>
  <c r="AI66" i="5"/>
  <c r="AI17" i="5"/>
  <c r="AI67" i="5"/>
  <c r="AI80" i="5"/>
  <c r="AI21" i="5"/>
  <c r="AI43" i="5"/>
  <c r="AI23" i="5"/>
  <c r="AI47" i="5"/>
  <c r="AI38" i="5"/>
  <c r="AI56" i="5"/>
  <c r="AI72" i="5"/>
  <c r="AI12" i="5"/>
  <c r="AI37" i="5"/>
  <c r="AI68" i="5"/>
  <c r="AI31" i="5"/>
  <c r="AI74" i="5"/>
  <c r="AI50" i="5"/>
  <c r="AI64" i="5"/>
  <c r="AI79" i="5"/>
  <c r="AI35" i="5"/>
  <c r="AI84" i="5"/>
  <c r="AI55" i="5"/>
  <c r="AI42" i="5"/>
  <c r="AI19" i="5"/>
  <c r="AI63" i="5"/>
  <c r="AI33" i="5"/>
  <c r="AI22" i="5"/>
  <c r="AI49" i="5"/>
  <c r="AI40" i="5"/>
  <c r="AI77" i="5"/>
  <c r="AI59" i="5"/>
  <c r="AI26" i="5"/>
  <c r="AI57" i="5"/>
  <c r="AI10" i="5"/>
  <c r="AI60" i="5"/>
  <c r="AI83" i="5"/>
  <c r="AI28" i="5"/>
  <c r="BJ60" i="5"/>
  <c r="P87" i="5"/>
  <c r="Q84" i="5"/>
  <c r="C24" i="2"/>
  <c r="Y28" i="5"/>
  <c r="BM49" i="5"/>
  <c r="K39" i="3"/>
  <c r="I39" i="3"/>
  <c r="BL60" i="5"/>
  <c r="F18" i="2"/>
  <c r="E21" i="2"/>
  <c r="F21" i="2"/>
  <c r="E15" i="2"/>
  <c r="F20" i="2"/>
  <c r="E18" i="2"/>
  <c r="F17" i="2"/>
  <c r="E20" i="2"/>
  <c r="E17" i="2"/>
  <c r="F15" i="2"/>
  <c r="G38" i="3"/>
  <c r="G28" i="3"/>
  <c r="G31" i="3" s="1"/>
  <c r="K21" i="3"/>
  <c r="D23" i="3"/>
  <c r="E21" i="3" s="1"/>
  <c r="I21" i="3"/>
  <c r="G37" i="3"/>
  <c r="AM52" i="5"/>
  <c r="AL84" i="5"/>
  <c r="AM84" i="5" s="1"/>
  <c r="BJ28" i="5"/>
  <c r="AA54" i="6"/>
  <c r="U54" i="6"/>
  <c r="Y54" i="6"/>
  <c r="W54" i="6"/>
  <c r="R86" i="6"/>
  <c r="S17" i="6" s="1"/>
  <c r="AE62" i="6"/>
  <c r="AF62" i="6" s="1"/>
  <c r="AH62" i="6"/>
  <c r="H126" i="8"/>
  <c r="E29" i="2"/>
  <c r="E24" i="2"/>
  <c r="E25" i="2"/>
  <c r="E28" i="2"/>
  <c r="E23" i="2"/>
  <c r="F23" i="2"/>
  <c r="E27" i="2"/>
  <c r="E26" i="2"/>
  <c r="G86" i="6"/>
  <c r="I7" i="7"/>
  <c r="F57" i="2"/>
  <c r="I8" i="7"/>
  <c r="D56" i="2"/>
  <c r="D55" i="2" s="1"/>
  <c r="F8" i="7"/>
  <c r="G8" i="7" s="1"/>
  <c r="O86" i="6"/>
  <c r="H10" i="7"/>
  <c r="AG85" i="6"/>
  <c r="AH70" i="6"/>
  <c r="E33" i="2" l="1"/>
  <c r="F33" i="2"/>
  <c r="F32" i="2"/>
  <c r="E32" i="2"/>
  <c r="E40" i="3"/>
  <c r="E39" i="3"/>
  <c r="E37" i="3"/>
  <c r="I43" i="3"/>
  <c r="S48" i="6"/>
  <c r="S49" i="6"/>
  <c r="S46" i="6"/>
  <c r="S47" i="6"/>
  <c r="S44" i="6"/>
  <c r="S45" i="6"/>
  <c r="S42" i="6"/>
  <c r="S43" i="6"/>
  <c r="S40" i="6"/>
  <c r="S41" i="6"/>
  <c r="F9" i="7"/>
  <c r="S37" i="6"/>
  <c r="S38" i="6"/>
  <c r="S35" i="6"/>
  <c r="S36" i="6"/>
  <c r="S33" i="6"/>
  <c r="S34" i="6"/>
  <c r="S31" i="6"/>
  <c r="S32" i="6"/>
  <c r="F7" i="7"/>
  <c r="G7" i="7" s="1"/>
  <c r="D10" i="7"/>
  <c r="E57" i="2"/>
  <c r="S52" i="6"/>
  <c r="S30" i="6"/>
  <c r="S50" i="6"/>
  <c r="S51" i="6"/>
  <c r="S53" i="6"/>
  <c r="K43" i="3"/>
  <c r="E41" i="3"/>
  <c r="E38" i="3"/>
  <c r="E43" i="3"/>
  <c r="E27" i="3"/>
  <c r="E31" i="3"/>
  <c r="E25" i="3"/>
  <c r="E30" i="3"/>
  <c r="I31" i="3"/>
  <c r="K31" i="3"/>
  <c r="E29" i="3"/>
  <c r="E26" i="3"/>
  <c r="N87" i="5"/>
  <c r="O84" i="5"/>
  <c r="E28" i="3"/>
  <c r="AD54" i="6"/>
  <c r="AA86" i="6"/>
  <c r="AB49" i="6" s="1"/>
  <c r="BN49" i="5"/>
  <c r="BO49" i="5"/>
  <c r="BP49" i="5" s="1"/>
  <c r="AH29" i="6"/>
  <c r="AE29" i="6"/>
  <c r="AF29" i="6" s="1"/>
  <c r="V84" i="5"/>
  <c r="W52" i="5"/>
  <c r="J87" i="5"/>
  <c r="K51" i="5"/>
  <c r="K33" i="5"/>
  <c r="K64" i="5"/>
  <c r="K77" i="5"/>
  <c r="K25" i="5"/>
  <c r="K46" i="5"/>
  <c r="K30" i="5"/>
  <c r="K15" i="5"/>
  <c r="K68" i="5"/>
  <c r="K78" i="5"/>
  <c r="K47" i="5"/>
  <c r="K31" i="5"/>
  <c r="K59" i="5"/>
  <c r="K69" i="5"/>
  <c r="K16" i="5"/>
  <c r="K44" i="5"/>
  <c r="K22" i="5"/>
  <c r="K7" i="5"/>
  <c r="K60" i="5"/>
  <c r="K70" i="5"/>
  <c r="K45" i="5"/>
  <c r="K29" i="5"/>
  <c r="K57" i="5"/>
  <c r="K61" i="5"/>
  <c r="K8" i="5"/>
  <c r="K42" i="5"/>
  <c r="K13" i="5"/>
  <c r="K56" i="5"/>
  <c r="K54" i="5"/>
  <c r="K62" i="5"/>
  <c r="K43" i="5"/>
  <c r="K26" i="5"/>
  <c r="K55" i="5"/>
  <c r="K20" i="5"/>
  <c r="K79" i="5"/>
  <c r="K40" i="5"/>
  <c r="K5" i="5"/>
  <c r="K84" i="5"/>
  <c r="K21" i="5"/>
  <c r="K41" i="5"/>
  <c r="K17" i="5"/>
  <c r="K53" i="5"/>
  <c r="K11" i="5"/>
  <c r="K71" i="5"/>
  <c r="K38" i="5"/>
  <c r="K81" i="5"/>
  <c r="K19" i="5"/>
  <c r="K75" i="5"/>
  <c r="K37" i="5"/>
  <c r="K80" i="5"/>
  <c r="K14" i="5"/>
  <c r="K74" i="5"/>
  <c r="K50" i="5"/>
  <c r="K34" i="5"/>
  <c r="K65" i="5"/>
  <c r="K76" i="5"/>
  <c r="K23" i="5"/>
  <c r="K73" i="5"/>
  <c r="K6" i="5"/>
  <c r="K24" i="5"/>
  <c r="K12" i="5"/>
  <c r="K82" i="5"/>
  <c r="K58" i="5"/>
  <c r="K67" i="5"/>
  <c r="K66" i="5"/>
  <c r="K27" i="5"/>
  <c r="K32" i="5"/>
  <c r="K39" i="5"/>
  <c r="K63" i="5"/>
  <c r="K49" i="5"/>
  <c r="K35" i="5"/>
  <c r="K48" i="5"/>
  <c r="K9" i="5"/>
  <c r="K36" i="5"/>
  <c r="K72" i="5"/>
  <c r="K10" i="5"/>
  <c r="K83" i="5"/>
  <c r="K28" i="5"/>
  <c r="M84" i="5"/>
  <c r="BM52" i="5"/>
  <c r="AF54" i="6"/>
  <c r="AG54" i="6"/>
  <c r="AH54" i="6" s="1"/>
  <c r="E23" i="3"/>
  <c r="E22" i="3"/>
  <c r="E20" i="3"/>
  <c r="I23" i="3"/>
  <c r="K23" i="3"/>
  <c r="E19" i="3"/>
  <c r="X87" i="5"/>
  <c r="Y84" i="5"/>
  <c r="BP53" i="5"/>
  <c r="BO60" i="5"/>
  <c r="BP60" i="5" s="1"/>
  <c r="S62" i="6"/>
  <c r="S14" i="6"/>
  <c r="S9" i="6"/>
  <c r="S28" i="6"/>
  <c r="S27" i="6"/>
  <c r="S86" i="6"/>
  <c r="S60" i="6"/>
  <c r="S8" i="6"/>
  <c r="S59" i="6"/>
  <c r="U86" i="6"/>
  <c r="Y86" i="6"/>
  <c r="S11" i="6"/>
  <c r="S26" i="6"/>
  <c r="S72" i="6"/>
  <c r="S20" i="6"/>
  <c r="S15" i="6"/>
  <c r="S73" i="6"/>
  <c r="S24" i="6"/>
  <c r="S16" i="6"/>
  <c r="S85" i="6"/>
  <c r="S19" i="6"/>
  <c r="S61" i="6"/>
  <c r="W86" i="6"/>
  <c r="S6" i="6"/>
  <c r="S22" i="6"/>
  <c r="S21" i="6"/>
  <c r="S25" i="6"/>
  <c r="S55" i="6"/>
  <c r="S81" i="6"/>
  <c r="S7" i="6"/>
  <c r="S10" i="6"/>
  <c r="S29" i="6"/>
  <c r="S57" i="6"/>
  <c r="B9" i="7"/>
  <c r="B59" i="2" s="1"/>
  <c r="S23" i="6"/>
  <c r="S52" i="5"/>
  <c r="U52" i="5"/>
  <c r="R84" i="5"/>
  <c r="BG52" i="5"/>
  <c r="BL28" i="5"/>
  <c r="BP8" i="5"/>
  <c r="BO28" i="5"/>
  <c r="S54" i="6"/>
  <c r="G40" i="3"/>
  <c r="G43" i="3" s="1"/>
  <c r="D51" i="2"/>
  <c r="E51" i="2" s="1"/>
  <c r="F50" i="2"/>
  <c r="E50" i="2"/>
  <c r="E58" i="2"/>
  <c r="F58" i="2"/>
  <c r="AE85" i="6"/>
  <c r="AF85" i="6" s="1"/>
  <c r="AH85" i="6"/>
  <c r="AB47" i="6" l="1"/>
  <c r="AB48" i="6"/>
  <c r="AB45" i="6"/>
  <c r="AB46" i="6"/>
  <c r="AB43" i="6"/>
  <c r="AB44" i="6"/>
  <c r="AB41" i="6"/>
  <c r="AB42" i="6"/>
  <c r="AB39" i="6"/>
  <c r="AB40" i="6"/>
  <c r="AB37" i="6"/>
  <c r="AB38" i="6"/>
  <c r="F10" i="7"/>
  <c r="AB35" i="6"/>
  <c r="AB36" i="6"/>
  <c r="AB33" i="6"/>
  <c r="AB34" i="6"/>
  <c r="AB31" i="6"/>
  <c r="AB32" i="6"/>
  <c r="AB52" i="6"/>
  <c r="AB50" i="6"/>
  <c r="AB30" i="6"/>
  <c r="AB51" i="6"/>
  <c r="AB53" i="6"/>
  <c r="BP28" i="5"/>
  <c r="BO52" i="5"/>
  <c r="BN52" i="5"/>
  <c r="BM84" i="5"/>
  <c r="AB25" i="6"/>
  <c r="AB69" i="6"/>
  <c r="AB70" i="6"/>
  <c r="AB74" i="6"/>
  <c r="AB71" i="6"/>
  <c r="AB65" i="6"/>
  <c r="AB81" i="6"/>
  <c r="AB73" i="6"/>
  <c r="AB57" i="6"/>
  <c r="AB29" i="6"/>
  <c r="AB16" i="6"/>
  <c r="AB59" i="6"/>
  <c r="AB54" i="6"/>
  <c r="AD86" i="6"/>
  <c r="AB26" i="6"/>
  <c r="AB86" i="6"/>
  <c r="AB83" i="6"/>
  <c r="AB85" i="6"/>
  <c r="AB64" i="6"/>
  <c r="AB77" i="6"/>
  <c r="AB23" i="6"/>
  <c r="AB10" i="6"/>
  <c r="AB17" i="6"/>
  <c r="AB58" i="6"/>
  <c r="AB62" i="6"/>
  <c r="AB61" i="6"/>
  <c r="AB79" i="6"/>
  <c r="AB66" i="6"/>
  <c r="AB84" i="6"/>
  <c r="AB82" i="6"/>
  <c r="AB68" i="6"/>
  <c r="AB28" i="6"/>
  <c r="AB24" i="6"/>
  <c r="AB27" i="6"/>
  <c r="AB15" i="6"/>
  <c r="AB63" i="6"/>
  <c r="AB72" i="6"/>
  <c r="AB78" i="6"/>
  <c r="AB60" i="6"/>
  <c r="AB6" i="6"/>
  <c r="AB20" i="6"/>
  <c r="AB21" i="6"/>
  <c r="AB7" i="6"/>
  <c r="AB67" i="6"/>
  <c r="AB22" i="6"/>
  <c r="AB11" i="6"/>
  <c r="AB19" i="6"/>
  <c r="AB9" i="6"/>
  <c r="AB55" i="6"/>
  <c r="AB14" i="6"/>
  <c r="AB8" i="6"/>
  <c r="E9" i="7"/>
  <c r="B10" i="7"/>
  <c r="C9" i="7" s="1"/>
  <c r="G9" i="7"/>
  <c r="I9" i="7"/>
  <c r="AG86" i="6"/>
  <c r="V87" i="5"/>
  <c r="W84" i="5"/>
  <c r="BG84" i="5"/>
  <c r="BJ52" i="5"/>
  <c r="BL52" i="5"/>
  <c r="S84" i="5"/>
  <c r="S68" i="5"/>
  <c r="S41" i="5"/>
  <c r="S57" i="5"/>
  <c r="S27" i="5"/>
  <c r="S8" i="5"/>
  <c r="S9" i="5"/>
  <c r="S82" i="5"/>
  <c r="S66" i="5"/>
  <c r="S39" i="5"/>
  <c r="S67" i="5"/>
  <c r="S25" i="5"/>
  <c r="S6" i="5"/>
  <c r="S24" i="5"/>
  <c r="S7" i="5"/>
  <c r="S80" i="5"/>
  <c r="S64" i="5"/>
  <c r="S37" i="5"/>
  <c r="S81" i="5"/>
  <c r="S65" i="5"/>
  <c r="S23" i="5"/>
  <c r="S48" i="5"/>
  <c r="S22" i="5"/>
  <c r="S58" i="5"/>
  <c r="S78" i="5"/>
  <c r="S62" i="5"/>
  <c r="S35" i="5"/>
  <c r="S79" i="5"/>
  <c r="S63" i="5"/>
  <c r="S21" i="5"/>
  <c r="S38" i="5"/>
  <c r="S20" i="5"/>
  <c r="S32" i="5"/>
  <c r="S61" i="5"/>
  <c r="S76" i="5"/>
  <c r="S50" i="5"/>
  <c r="S33" i="5"/>
  <c r="S77" i="5"/>
  <c r="S51" i="5"/>
  <c r="S19" i="5"/>
  <c r="S40" i="5"/>
  <c r="S17" i="5"/>
  <c r="S44" i="5"/>
  <c r="S55" i="5"/>
  <c r="S72" i="5"/>
  <c r="S45" i="5"/>
  <c r="S29" i="5"/>
  <c r="S73" i="5"/>
  <c r="S54" i="5"/>
  <c r="S30" i="5"/>
  <c r="S13" i="5"/>
  <c r="S34" i="5"/>
  <c r="S74" i="5"/>
  <c r="S56" i="5"/>
  <c r="S36" i="5"/>
  <c r="S70" i="5"/>
  <c r="S46" i="5"/>
  <c r="S11" i="5"/>
  <c r="S47" i="5"/>
  <c r="S16" i="5"/>
  <c r="S12" i="5"/>
  <c r="S31" i="5"/>
  <c r="S42" i="5"/>
  <c r="S59" i="5"/>
  <c r="S71" i="5"/>
  <c r="S75" i="5"/>
  <c r="S15" i="5"/>
  <c r="R87" i="5"/>
  <c r="S5" i="5"/>
  <c r="S43" i="5"/>
  <c r="S69" i="5"/>
  <c r="S53" i="5"/>
  <c r="S26" i="5"/>
  <c r="S14" i="5"/>
  <c r="S83" i="5"/>
  <c r="S60" i="5"/>
  <c r="S49" i="5"/>
  <c r="S10" i="5"/>
  <c r="U84" i="5"/>
  <c r="S28" i="5"/>
  <c r="AE86" i="6" l="1"/>
  <c r="G10" i="7"/>
  <c r="AH86" i="6"/>
  <c r="BJ84" i="5"/>
  <c r="BJ59" i="5"/>
  <c r="BN84" i="5"/>
  <c r="BH32" i="5"/>
  <c r="BH80" i="5"/>
  <c r="BH84" i="5"/>
  <c r="BH65" i="5"/>
  <c r="BH16" i="5"/>
  <c r="BH6" i="5"/>
  <c r="BH23" i="5"/>
  <c r="BH48" i="5"/>
  <c r="BH82" i="5"/>
  <c r="BH72" i="5"/>
  <c r="BH75" i="5"/>
  <c r="BH37" i="5"/>
  <c r="BH15" i="5"/>
  <c r="BH22" i="5"/>
  <c r="BH57" i="5"/>
  <c r="BH74" i="5"/>
  <c r="BH64" i="5"/>
  <c r="BH67" i="5"/>
  <c r="BH79" i="5"/>
  <c r="BH45" i="5"/>
  <c r="BH21" i="5"/>
  <c r="BH46" i="5"/>
  <c r="BH31" i="5"/>
  <c r="BH66" i="5"/>
  <c r="BH78" i="5"/>
  <c r="BH71" i="5"/>
  <c r="BH13" i="5"/>
  <c r="BH20" i="5"/>
  <c r="BH42" i="5"/>
  <c r="BH38" i="5"/>
  <c r="BH51" i="5"/>
  <c r="BH56" i="5"/>
  <c r="BH70" i="5"/>
  <c r="BH63" i="5"/>
  <c r="BH12" i="5"/>
  <c r="BH27" i="5"/>
  <c r="BH40" i="5"/>
  <c r="BH69" i="5"/>
  <c r="BH81" i="5"/>
  <c r="BH8" i="5"/>
  <c r="BH25" i="5"/>
  <c r="BH11" i="5"/>
  <c r="BH77" i="5"/>
  <c r="BH9" i="5"/>
  <c r="BH36" i="5"/>
  <c r="BH61" i="5"/>
  <c r="BH7" i="5"/>
  <c r="BH54" i="5"/>
  <c r="BH24" i="5"/>
  <c r="BH17" i="5"/>
  <c r="BH34" i="5"/>
  <c r="BH62" i="5"/>
  <c r="BH18" i="5"/>
  <c r="BH47" i="5"/>
  <c r="BH73" i="5"/>
  <c r="BH30" i="5"/>
  <c r="BH44" i="5"/>
  <c r="BH33" i="5"/>
  <c r="BH58" i="5"/>
  <c r="BH55" i="5"/>
  <c r="BH35" i="5"/>
  <c r="BH39" i="5"/>
  <c r="BH59" i="5"/>
  <c r="BH41" i="5"/>
  <c r="BH19" i="5"/>
  <c r="BH68" i="5"/>
  <c r="BH76" i="5"/>
  <c r="BH29" i="5"/>
  <c r="BH50" i="5"/>
  <c r="BH14" i="5"/>
  <c r="BH5" i="5"/>
  <c r="BH53" i="5"/>
  <c r="BH43" i="5"/>
  <c r="BH83" i="5"/>
  <c r="BH26" i="5"/>
  <c r="BH49" i="5"/>
  <c r="BH10" i="5"/>
  <c r="BH60" i="5"/>
  <c r="BH28" i="5"/>
  <c r="BL84" i="5"/>
  <c r="B56" i="2"/>
  <c r="C59" i="2" s="1"/>
  <c r="F59" i="2"/>
  <c r="E59" i="2"/>
  <c r="BH52" i="5"/>
  <c r="C10" i="7"/>
  <c r="C7" i="7"/>
  <c r="C8" i="7"/>
  <c r="I10" i="7"/>
  <c r="E10" i="7"/>
  <c r="BO84" i="5"/>
  <c r="BP84" i="5" s="1"/>
  <c r="BP52" i="5"/>
  <c r="AF86" i="6"/>
  <c r="C57" i="2" l="1"/>
  <c r="C56" i="2"/>
  <c r="B55" i="2"/>
  <c r="F55" i="2" s="1"/>
  <c r="C58" i="2"/>
  <c r="F56" i="2"/>
  <c r="E56" i="2"/>
  <c r="AI54" i="6" l="1"/>
</calcChain>
</file>

<file path=xl/sharedStrings.xml><?xml version="1.0" encoding="utf-8"?>
<sst xmlns="http://schemas.openxmlformats.org/spreadsheetml/2006/main" count="838" uniqueCount="461">
  <si>
    <t>Dirección de Economía y Finanzas</t>
  </si>
  <si>
    <t xml:space="preserve">Subdirección de Análisis económico, </t>
  </si>
  <si>
    <t>Transferencias para inversión</t>
  </si>
  <si>
    <t>Pasivos exigibles y cuentas por pagar</t>
  </si>
  <si>
    <t>Reservas presupuestales para Bogotá positiva</t>
  </si>
  <si>
    <t>Reservas presupuestales y no utilizadas</t>
  </si>
  <si>
    <t>Total inversión</t>
  </si>
  <si>
    <t>Presupuestal y Estadísticas Fiscales</t>
  </si>
  <si>
    <t>Presupuesto</t>
  </si>
  <si>
    <t>Ejecución</t>
  </si>
  <si>
    <t>Entidades           Cuentas</t>
  </si>
  <si>
    <t>Definitivo</t>
  </si>
  <si>
    <t>% part.</t>
  </si>
  <si>
    <t>Giros</t>
  </si>
  <si>
    <t>% ejec.</t>
  </si>
  <si>
    <t>Compromisos por pagar</t>
  </si>
  <si>
    <t>Total</t>
  </si>
  <si>
    <t>Inicial</t>
  </si>
  <si>
    <t>Vigente</t>
  </si>
  <si>
    <t>SUSPENSIÓN</t>
  </si>
  <si>
    <t>Disponible</t>
  </si>
  <si>
    <t>Concejo</t>
  </si>
  <si>
    <t>Personería</t>
  </si>
  <si>
    <t>Secretaría General</t>
  </si>
  <si>
    <t>Veeduría</t>
  </si>
  <si>
    <t>Scretaría de Gobierno</t>
  </si>
  <si>
    <t>Secretaría de Hacienda</t>
  </si>
  <si>
    <t>Dirección de Gestión Corporativa</t>
  </si>
  <si>
    <t>Dirección Distrital de Presupuesto</t>
  </si>
  <si>
    <t>dirección de Crédito Público</t>
  </si>
  <si>
    <t>Cuenta Fondo del Concejo</t>
  </si>
  <si>
    <t>Secretaría de Educación</t>
  </si>
  <si>
    <t>Secretaría Distrital de la Movilidad -Dirección Administrativa-</t>
  </si>
  <si>
    <t>Secretaría Distrital de la Movilidad -Secretaria de Tránsito y Transporte-</t>
  </si>
  <si>
    <t>Secretaría Distrital de Salud</t>
  </si>
  <si>
    <t>Secretaria Distrital de Desarrollo Económico</t>
  </si>
  <si>
    <t>Secretaría Distrital del Hábitat</t>
  </si>
  <si>
    <t>Secretaria Distrital de Cultura, Recreación y Deporte</t>
  </si>
  <si>
    <t>Secretaría Distrital de Planeación</t>
  </si>
  <si>
    <t>Secretaría Distrital de Integración Social</t>
  </si>
  <si>
    <t>Depto. Adtivo. del Servicio Civil</t>
  </si>
  <si>
    <t>Secretaría Distrital de Ambiente</t>
  </si>
  <si>
    <t>Depto. Adtivo. de la Defensoría del Espacio Público</t>
  </si>
  <si>
    <t>Unidad Adtiva. Especial del Cuerpo Oficial de Bomberos</t>
  </si>
  <si>
    <t>Administración Central</t>
  </si>
  <si>
    <t>Instituto para la Economía Docial</t>
  </si>
  <si>
    <t>Fondo Financiero Distrital de Salud</t>
  </si>
  <si>
    <t>Fondo para la Prevención y Atención de Emergencias</t>
  </si>
  <si>
    <t>Instituto de Desarrollo Urbano</t>
  </si>
  <si>
    <t>Fondo de Prestaciones Económicas, Cesantías y Pensiones</t>
  </si>
  <si>
    <t>Caja de la Vivienda Popular</t>
  </si>
  <si>
    <t>Instituto Distrital para la Recreación y el Deporte</t>
  </si>
  <si>
    <t>Instituo Distrital de Turismo</t>
  </si>
  <si>
    <t>Instituto Distrital de Patrimonio Cultural</t>
  </si>
  <si>
    <t>IDIPRON</t>
  </si>
  <si>
    <t>Fundación Gilberto Alzate Avendaño</t>
  </si>
  <si>
    <t>Orquesta Filarmónica de Bogotá</t>
  </si>
  <si>
    <t>Fondo de Vigilancia y Seguridad</t>
  </si>
  <si>
    <t>Jardín Botánico -José Celestino Mutis-</t>
  </si>
  <si>
    <t>Instituto para la Investigación y el Desarrollo Pedagógico</t>
  </si>
  <si>
    <t>Unidad Adtiva. Espec. de la Participación y Acción Comunal</t>
  </si>
  <si>
    <t>Unidad Adtiva. Espec. de Catastro Distrital</t>
  </si>
  <si>
    <t>Unidad Adtiva. Espec. de Mantenimiento y Recuperación Vial</t>
  </si>
  <si>
    <t>Instituto Distrital de Artes -IDARTES-</t>
  </si>
  <si>
    <t>Unidad Adtiva. Espec. de Servicios Públicos</t>
  </si>
  <si>
    <t>Establecimiento Públicos</t>
  </si>
  <si>
    <t>Contralorìa</t>
  </si>
  <si>
    <t>Universidad Distrital Francisco José de Caldas</t>
  </si>
  <si>
    <t>Establecimiento Públicos + Contraloría + Universidad</t>
  </si>
  <si>
    <t>Total Presupuesto Anual</t>
  </si>
  <si>
    <t>Empresa de Acueducto y Alcantarillado de Bogotá</t>
  </si>
  <si>
    <t>Empresa Aguas de Bogotá</t>
  </si>
  <si>
    <t>Lotería de Bogotá</t>
  </si>
  <si>
    <t>Transmilenio S.A.</t>
  </si>
  <si>
    <t>Canal Capital</t>
  </si>
  <si>
    <t>Empresa de Renovación Urbana</t>
  </si>
  <si>
    <t>Metrovivienda</t>
  </si>
  <si>
    <t>Empresas Industriales y Comerciales</t>
  </si>
  <si>
    <t>Hospital La Victoria</t>
  </si>
  <si>
    <t>Hospital El Tunal</t>
  </si>
  <si>
    <t>Hospital Simón Bolivar</t>
  </si>
  <si>
    <t>Hospital Occidente de Kennedy</t>
  </si>
  <si>
    <t>Hospital Santa Clara</t>
  </si>
  <si>
    <t>Bospital Bosa</t>
  </si>
  <si>
    <t>Hospital Engativá</t>
  </si>
  <si>
    <t>Hospital Fontibón</t>
  </si>
  <si>
    <t>Hospital Meissen</t>
  </si>
  <si>
    <t>Hospital Tunjuelito</t>
  </si>
  <si>
    <t>Hospital Centro Oriente</t>
  </si>
  <si>
    <t>Hospital San Blas</t>
  </si>
  <si>
    <t>Hospital Chapinero</t>
  </si>
  <si>
    <t>Hospital Suba</t>
  </si>
  <si>
    <t>Hospital Usaquén</t>
  </si>
  <si>
    <t>Hospital Usme</t>
  </si>
  <si>
    <t>Hospital del Sur</t>
  </si>
  <si>
    <t>Hospital Nazareth</t>
  </si>
  <si>
    <t>Hospital Pablo VI de Bosa</t>
  </si>
  <si>
    <t>Hospital San Cristóbal</t>
  </si>
  <si>
    <t>Hospital Rafael Uribe</t>
  </si>
  <si>
    <t>Hospital Vista Hermosa</t>
  </si>
  <si>
    <t>Empresas Sociales del Estado</t>
  </si>
  <si>
    <t>Total Presupuesto Distrital</t>
  </si>
  <si>
    <t>PRESUPUESTO</t>
  </si>
  <si>
    <t>EJECUCION</t>
  </si>
  <si>
    <t>DEFINITIVO</t>
  </si>
  <si>
    <t>% PART.</t>
  </si>
  <si>
    <t>GIROS</t>
  </si>
  <si>
    <t>%</t>
  </si>
  <si>
    <t>COMPROMISOS</t>
  </si>
  <si>
    <t>TOTAL</t>
  </si>
  <si>
    <t>Dirección de Crédito Público</t>
  </si>
  <si>
    <t>Miles de pesos</t>
  </si>
  <si>
    <t>Compromisos</t>
  </si>
  <si>
    <t>Fuente: Formatos CB-103 de gastos de SIVICOF</t>
  </si>
  <si>
    <t>Administración Distrital</t>
  </si>
  <si>
    <t>Composición general del presupuesto neto del D.C.</t>
  </si>
  <si>
    <t xml:space="preserve">                                                                        Miles de pesos                                                 Anexo 1</t>
  </si>
  <si>
    <t>CONCEPTO</t>
  </si>
  <si>
    <t>Modificación</t>
  </si>
  <si>
    <t>Recaudos</t>
  </si>
  <si>
    <t>Reservas</t>
  </si>
  <si>
    <t>Total gastos</t>
  </si>
  <si>
    <t>Contraloría</t>
  </si>
  <si>
    <t>Ingresos</t>
  </si>
  <si>
    <t xml:space="preserve">  Corrientes</t>
  </si>
  <si>
    <t xml:space="preserve">  Transferencias</t>
  </si>
  <si>
    <t xml:space="preserve">  Recursos de capital</t>
  </si>
  <si>
    <t>Gastos</t>
  </si>
  <si>
    <t xml:space="preserve">  Funcionamiento</t>
  </si>
  <si>
    <t xml:space="preserve">  Deuda</t>
  </si>
  <si>
    <t xml:space="preserve">  Inversión</t>
  </si>
  <si>
    <t>Administración central</t>
  </si>
  <si>
    <t>Corrientes</t>
  </si>
  <si>
    <t xml:space="preserve">  Tributarios</t>
  </si>
  <si>
    <t xml:space="preserve">  No tributarios</t>
  </si>
  <si>
    <t>Transferencias</t>
  </si>
  <si>
    <t xml:space="preserve">  De la nación</t>
  </si>
  <si>
    <t xml:space="preserve">  Entidades distritales</t>
  </si>
  <si>
    <t xml:space="preserve">  Otras transferencias</t>
  </si>
  <si>
    <t>Recursos de capital</t>
  </si>
  <si>
    <t xml:space="preserve">  Recursos del balance</t>
  </si>
  <si>
    <t xml:space="preserve">  Recursos del crédito</t>
  </si>
  <si>
    <t xml:space="preserve">  Rendimientos por operaciones financieras</t>
  </si>
  <si>
    <t xml:space="preserve">  Diferencial cambiario</t>
  </si>
  <si>
    <t xml:space="preserve">  Excedentes financieros y utilidades estable. públicos-Empresas</t>
  </si>
  <si>
    <t xml:space="preserve">  Donaciones</t>
  </si>
  <si>
    <t xml:space="preserve">  Otros recursos de capital</t>
  </si>
  <si>
    <t xml:space="preserve">  Recursos crédito del presupuesto</t>
  </si>
  <si>
    <t xml:space="preserve">  Reducción capital de empresas</t>
  </si>
  <si>
    <t>Ingresos adicionales</t>
  </si>
  <si>
    <t>Funcionamiento</t>
  </si>
  <si>
    <t xml:space="preserve">  Servicios personales</t>
  </si>
  <si>
    <t xml:space="preserve">  Gastos generales</t>
  </si>
  <si>
    <t xml:space="preserve">  Transferencias para funcionamiento</t>
  </si>
  <si>
    <t xml:space="preserve">    Establecimientos públicos</t>
  </si>
  <si>
    <t xml:space="preserve">    Otras transferencias</t>
  </si>
  <si>
    <t xml:space="preserve">    Organismos de control</t>
  </si>
  <si>
    <t xml:space="preserve">    Ente autónomo universitario</t>
  </si>
  <si>
    <t xml:space="preserve">    Transferencias para reservas</t>
  </si>
  <si>
    <t xml:space="preserve">  Reservas Presupuestales</t>
  </si>
  <si>
    <t xml:space="preserve">  Pasivos exigibles</t>
  </si>
  <si>
    <t>Servicio de la deuda</t>
  </si>
  <si>
    <t>Interna</t>
  </si>
  <si>
    <t>Externa</t>
  </si>
  <si>
    <t>Bonos Pensionales</t>
  </si>
  <si>
    <t>Transferencias Fondo de pensiones territoriales -FONPET-</t>
  </si>
  <si>
    <t>Transferencia servicio de la deuda</t>
  </si>
  <si>
    <t>Pasivos contingentes</t>
  </si>
  <si>
    <t>Reservas Presupuestales</t>
  </si>
  <si>
    <t>Inversión</t>
  </si>
  <si>
    <t xml:space="preserve">  Directa</t>
  </si>
  <si>
    <t xml:space="preserve">  Transferencias para inversión</t>
  </si>
  <si>
    <t xml:space="preserve">  Pasivos exigibles y Déficit vig. Anterior</t>
  </si>
  <si>
    <t>Establecimientos públicos</t>
  </si>
  <si>
    <t>INGRESOS</t>
  </si>
  <si>
    <t>GASTOS</t>
  </si>
  <si>
    <t xml:space="preserve">  Disponibilidad inicial</t>
  </si>
  <si>
    <t xml:space="preserve">  Gastos de operación</t>
  </si>
  <si>
    <t xml:space="preserve">  Disponibilidad final</t>
  </si>
  <si>
    <t>EGRESOS</t>
  </si>
  <si>
    <t>Anexo 2</t>
  </si>
  <si>
    <t>Cuentas                         Niveles</t>
  </si>
  <si>
    <t>Establecimientos Públicos</t>
  </si>
  <si>
    <t>Universidad Distrital</t>
  </si>
  <si>
    <t>Entidades del Presupuesto Anual</t>
  </si>
  <si>
    <t>Empresas Industriales y Comerciales del Estado</t>
  </si>
  <si>
    <t xml:space="preserve">Empresas Sociales del Estado </t>
  </si>
  <si>
    <t>Totales</t>
  </si>
  <si>
    <t>Ingresos corrientes</t>
  </si>
  <si>
    <t>Tributarios</t>
  </si>
  <si>
    <t>Predial unificado</t>
  </si>
  <si>
    <t>Industria, comercio y avisos</t>
  </si>
  <si>
    <t>Azar y espectáculos públicos</t>
  </si>
  <si>
    <t>Vehículos automotores</t>
  </si>
  <si>
    <t>Delineación urbana</t>
  </si>
  <si>
    <t>Cigarrillos extranjeros</t>
  </si>
  <si>
    <t>Consumo de cerveza</t>
  </si>
  <si>
    <t>Sobretasa a la gasolina</t>
  </si>
  <si>
    <t>Estampilla Universidad Distrital</t>
  </si>
  <si>
    <t>Impuesto a la publicidad exterior visual</t>
  </si>
  <si>
    <t>Fondo de los Pobres</t>
  </si>
  <si>
    <t>Impuesto al deporte</t>
  </si>
  <si>
    <t>Estampilla pro - cultura</t>
  </si>
  <si>
    <t>Estampilla pro - personas mayores</t>
  </si>
  <si>
    <t>Impuesto Unificado Fondo de Pobles, Azar y Espectaculos Publicos</t>
  </si>
  <si>
    <t>Otros ingresos tributarios</t>
  </si>
  <si>
    <t>No tributarios</t>
  </si>
  <si>
    <t>Ingresos de explotación</t>
  </si>
  <si>
    <t>Tarifas</t>
  </si>
  <si>
    <t>Multas</t>
  </si>
  <si>
    <t>Rentas contractuales</t>
  </si>
  <si>
    <t>Contribuciones</t>
  </si>
  <si>
    <t>Participaciones</t>
  </si>
  <si>
    <t>Peajes y Concesiones</t>
  </si>
  <si>
    <t>Otras</t>
  </si>
  <si>
    <t>Fondo cuenta pago compensatorio de cesiones públicas</t>
  </si>
  <si>
    <t>Aporte de afiliados</t>
  </si>
  <si>
    <t>Derechos</t>
  </si>
  <si>
    <t>Intereses moratorios impuestos</t>
  </si>
  <si>
    <t>Sanciones tributarias</t>
  </si>
  <si>
    <t>Otros ingresos no tributarios</t>
  </si>
  <si>
    <t>Otros ingresos corrientes</t>
  </si>
  <si>
    <t>Nación</t>
  </si>
  <si>
    <t>Departamento</t>
  </si>
  <si>
    <t>Municipios</t>
  </si>
  <si>
    <t>Entidades distritales</t>
  </si>
  <si>
    <t>Otras transferencias</t>
  </si>
  <si>
    <t>Recursos del balance</t>
  </si>
  <si>
    <t>Recursos del crédito</t>
  </si>
  <si>
    <t>Interno</t>
  </si>
  <si>
    <t>Externo</t>
  </si>
  <si>
    <t>Rendimientos por operaciones financieras</t>
  </si>
  <si>
    <t>Diferenciasl cambiario</t>
  </si>
  <si>
    <t>Excedentes financieros establecimientos públicos y utilidades de empresas</t>
  </si>
  <si>
    <t>Donaciones</t>
  </si>
  <si>
    <t>REDUCCIÓN DE CAPITAL DE EMPRESAS</t>
  </si>
  <si>
    <t>Aportes de capital</t>
  </si>
  <si>
    <t>Recursos de titularización</t>
  </si>
  <si>
    <t>Recursos crédito del presupuesto</t>
  </si>
  <si>
    <t>Otros recursos de capital</t>
  </si>
  <si>
    <t>INGRESOS ADICIONALES</t>
  </si>
  <si>
    <t>Disponibilidad inicial</t>
  </si>
  <si>
    <t>Total recaudo de ingresos</t>
  </si>
  <si>
    <t xml:space="preserve"> Formato: CB101 de ingresos - SIVICOF</t>
  </si>
  <si>
    <t>Anexo 3</t>
  </si>
  <si>
    <t>Gastos de funcionamiento</t>
  </si>
  <si>
    <t>Gastos administrativos</t>
  </si>
  <si>
    <t>Servicios personales</t>
  </si>
  <si>
    <t>Gastos generales</t>
  </si>
  <si>
    <t>Aportes patronales</t>
  </si>
  <si>
    <t>Transfrencias para funcionamiento</t>
  </si>
  <si>
    <t>Transf. Prevención y seguridad</t>
  </si>
  <si>
    <t>Pasivos exigibles</t>
  </si>
  <si>
    <t>Cuentas por pagar</t>
  </si>
  <si>
    <t>Resevas presupuestales</t>
  </si>
  <si>
    <t>Pago de cesantías</t>
  </si>
  <si>
    <t>Gastos operativos</t>
  </si>
  <si>
    <t>Compra de bienes</t>
  </si>
  <si>
    <t>Compra de servicios</t>
  </si>
  <si>
    <t>Compra de equipo</t>
  </si>
  <si>
    <t>Otros gastos de comercialización</t>
  </si>
  <si>
    <t>Gastos de producción</t>
  </si>
  <si>
    <t>Bonos pensionales</t>
  </si>
  <si>
    <t>Pensiones Cuotas partes</t>
  </si>
  <si>
    <t>Transferencias Fonpet</t>
  </si>
  <si>
    <t>Transferencias servicio de la deuda</t>
  </si>
  <si>
    <t>Reservas presupuestales</t>
  </si>
  <si>
    <t>Inversión directa</t>
  </si>
  <si>
    <t>DÉFICIT COMPROMISO VIGENCIA ANTERIOR</t>
  </si>
  <si>
    <t>Pasivos exibiles</t>
  </si>
  <si>
    <t>Disponibilidad final</t>
  </si>
  <si>
    <t>Total ejecución de gastos</t>
  </si>
  <si>
    <t>Formato CB103 de gastos - SIVICOF</t>
  </si>
  <si>
    <t>Detalle</t>
  </si>
  <si>
    <t>%Part.</t>
  </si>
  <si>
    <t>Ejecución del gasto</t>
  </si>
  <si>
    <t xml:space="preserve">Total </t>
  </si>
  <si>
    <t>El presupuesto distrital aprobado</t>
  </si>
  <si>
    <t xml:space="preserve">Presupuesto Anual </t>
  </si>
  <si>
    <t xml:space="preserve">Establecimientos públicos </t>
  </si>
  <si>
    <t xml:space="preserve">Contraloría y Universidad Distrital </t>
  </si>
  <si>
    <t>Empresas Industriales y Comerciales –EICD</t>
  </si>
  <si>
    <t xml:space="preserve">Empresas Sociales del Estado –ESE </t>
  </si>
  <si>
    <t xml:space="preserve">La distribución del recaudo: </t>
  </si>
  <si>
    <t xml:space="preserve">Recursos de capital </t>
  </si>
  <si>
    <t xml:space="preserve">Disponibilidad inicial </t>
  </si>
  <si>
    <t>La distribución de la ejecución del gasto</t>
  </si>
  <si>
    <t xml:space="preserve">Funcionamiento </t>
  </si>
  <si>
    <t>Operativos</t>
  </si>
  <si>
    <t>Deuda</t>
  </si>
  <si>
    <t xml:space="preserve">Inversión </t>
  </si>
  <si>
    <t xml:space="preserve">La ejecución total de giros </t>
  </si>
  <si>
    <t xml:space="preserve">La ejecución total de compromisos pendientes de pago </t>
  </si>
  <si>
    <t>Total ejecución</t>
  </si>
  <si>
    <t>Entidades con mayor eficiencia en el recaudo</t>
  </si>
  <si>
    <t xml:space="preserve">El servicio de la deuda distrital está representado </t>
  </si>
  <si>
    <t>Deuda interna</t>
  </si>
  <si>
    <t>Deuda externa</t>
  </si>
  <si>
    <t>Otros</t>
  </si>
  <si>
    <t>Sostenibilidad (Saldo Deuda/Ingresos Corrientes). Máximo 80%</t>
  </si>
  <si>
    <t>$ colocados</t>
  </si>
  <si>
    <t>La disponibilidad de recursos del D.C.</t>
  </si>
  <si>
    <t xml:space="preserve">Recursos de tesorería </t>
  </si>
  <si>
    <t>Cuentas corrientes</t>
  </si>
  <si>
    <t>Portafolio</t>
  </si>
  <si>
    <t xml:space="preserve">CDT </t>
  </si>
  <si>
    <t>Time Deposit1</t>
  </si>
  <si>
    <t>Fiducia</t>
  </si>
  <si>
    <t xml:space="preserve">Bonos </t>
  </si>
  <si>
    <t xml:space="preserve">Tes </t>
  </si>
  <si>
    <t xml:space="preserve"> </t>
  </si>
  <si>
    <t>Presupuesto (Ingresos)</t>
  </si>
  <si>
    <t>Presupuesto (Gastos)</t>
  </si>
  <si>
    <t>Presenta modificaciones por:</t>
  </si>
  <si>
    <t xml:space="preserve">Presupuesto Distrital </t>
  </si>
  <si>
    <t>Tesorería</t>
  </si>
  <si>
    <t>Presupuestal</t>
  </si>
  <si>
    <t>% Part.</t>
  </si>
  <si>
    <t>Para la capacidad de pago, solvencia, (Intereses pagados/Ahorro Operacional), Maximo 40%</t>
  </si>
  <si>
    <t xml:space="preserve">Depósitos en cuentas de ahorro </t>
  </si>
  <si>
    <t>Cajas</t>
  </si>
  <si>
    <t>TIPS</t>
  </si>
  <si>
    <t>Total del estado de la deuda pública distrital</t>
  </si>
  <si>
    <t>Otras empresas</t>
  </si>
  <si>
    <t>Como proporción del presupuesto definitivo</t>
  </si>
  <si>
    <t>Cartera Colectiva</t>
  </si>
  <si>
    <t>Tidis</t>
  </si>
  <si>
    <t>Otros gastos</t>
  </si>
  <si>
    <t>Fondo liberación de apropiaciones</t>
  </si>
  <si>
    <t>Bogotá Humana</t>
  </si>
  <si>
    <t>Inversión Directa</t>
  </si>
  <si>
    <t>Bogotá Positiva</t>
  </si>
  <si>
    <t>Una ciudad que supera la segregación y la discriminación</t>
  </si>
  <si>
    <t>Un territorio que enfrenta el cambio climático y se ordena alrededor del agua</t>
  </si>
  <si>
    <t>Una Bogotá que defiende y fortalece lo público</t>
  </si>
  <si>
    <t>Entes Autónomos</t>
  </si>
  <si>
    <t>Presupuesto Anual</t>
  </si>
  <si>
    <t>Empresas Industriales y C.</t>
  </si>
  <si>
    <t>Empresas Sociales del E.</t>
  </si>
  <si>
    <t>Gastos de operación</t>
  </si>
  <si>
    <t>Servucio de la deuda</t>
  </si>
  <si>
    <t>Gastos de inversión</t>
  </si>
  <si>
    <t xml:space="preserve">Total gastos </t>
  </si>
  <si>
    <t>Suspención</t>
  </si>
  <si>
    <t>% par.</t>
  </si>
  <si>
    <t>Niveles por cuentas</t>
  </si>
  <si>
    <t>Presupuesto y ejecución de gastos por niveles administrativos y objeto</t>
  </si>
  <si>
    <t>Fuente: Formatos CB 103 de gastos de SIVICOF</t>
  </si>
  <si>
    <t>Elaboró: Subdirección de Análisis Financiero, presupuestal y estadísticas fiscales</t>
  </si>
  <si>
    <t>Una ciudad que supera la segregación y la discriminación: el ser humano en el centro de las preocupaciones del desarrollo</t>
  </si>
  <si>
    <t>Total Bogotá Humana</t>
  </si>
  <si>
    <t>La principal fuente de recursos del D.C., son los ingresos tributarios,</t>
  </si>
  <si>
    <t>En territorio que enfrenta el cambio climático y se ordena alrededor del agua</t>
  </si>
  <si>
    <t>Unidad Adtiva. Especial de la Defensoría del Espacio Público</t>
  </si>
  <si>
    <t>Hospital La Victoria  403</t>
  </si>
  <si>
    <t>Hospital El Tunal     402</t>
  </si>
  <si>
    <t>Hospital Simón Bolivar   406</t>
  </si>
  <si>
    <t>Hospital Occidente de Kennedy   404</t>
  </si>
  <si>
    <t>Hospital Santa Clara   405</t>
  </si>
  <si>
    <t>Bospital Bosa   408</t>
  </si>
  <si>
    <t>Hospital Engativá   409</t>
  </si>
  <si>
    <t>Hospital Fontibón   410</t>
  </si>
  <si>
    <t>Hospital Meissen   411</t>
  </si>
  <si>
    <t>Hospital Tunjuelito   413</t>
  </si>
  <si>
    <t>Hospital Centro Oriente   407</t>
  </si>
  <si>
    <t>Hospital San Blas    412</t>
  </si>
  <si>
    <t>Hospital Chapinero   414</t>
  </si>
  <si>
    <t>Hospital Suba   416</t>
  </si>
  <si>
    <t>Hospital Usaquén    417</t>
  </si>
  <si>
    <t>Hospital Usme    418</t>
  </si>
  <si>
    <t>Hospital del Sur   419</t>
  </si>
  <si>
    <t>Hospital Nazareth   415</t>
  </si>
  <si>
    <t>Hospital San Cristóbal   422</t>
  </si>
  <si>
    <t>Hospital Rafael Uribe  421</t>
  </si>
  <si>
    <t>Hospital Vista Hermosa  423</t>
  </si>
  <si>
    <t>Hospital Pablo VI de Bosa   420</t>
  </si>
  <si>
    <t>Instituto para la Economía Social</t>
  </si>
  <si>
    <t>Cancelación de reservas</t>
  </si>
  <si>
    <t>5% Contratos de obra pública</t>
  </si>
  <si>
    <t>Como proporción del PIB nacional 2012</t>
  </si>
  <si>
    <t>Como proporción del PIB distrital 2012</t>
  </si>
  <si>
    <t>Corresponde al PIB nacional -de 2012-</t>
  </si>
  <si>
    <t>Corresponde al PIB distrital -de 2012-</t>
  </si>
  <si>
    <t>Corresponde al PIB nacional -2012-</t>
  </si>
  <si>
    <t>Corresponde al PIB distrital -2012-</t>
  </si>
  <si>
    <t>PIB Nacional 2012, millones $ Corrientes</t>
  </si>
  <si>
    <t>PIB Bogotá 2012, millones $ Corrientes</t>
  </si>
  <si>
    <t>El presupuesto distrital definitivo</t>
  </si>
  <si>
    <t>Puntos relevantes del presupuesto neto distrital</t>
  </si>
  <si>
    <t>Espectaculos Públicos</t>
  </si>
  <si>
    <t>Empresas industriales y Comerciales</t>
  </si>
  <si>
    <t>Dirección de Estudios de Economía Política</t>
  </si>
  <si>
    <t xml:space="preserve">Subdirección de Estadística y Análisis Presupuestal y Financiero </t>
  </si>
  <si>
    <t>Ejes</t>
  </si>
  <si>
    <t>Secretaría de la Mujer</t>
  </si>
  <si>
    <t>Plan de desarrollo "Bogotá Humana"</t>
  </si>
  <si>
    <t>a 31 de diciembre de 2014</t>
  </si>
  <si>
    <t xml:space="preserve">  Desahorro Fonpet</t>
  </si>
  <si>
    <t>Desahorro Fonpet</t>
  </si>
  <si>
    <t>Ejecución del ingreso por niveles a 31 de diciembre de 2014</t>
  </si>
  <si>
    <t>Ejecución de gastos e inversiones por niveles a 31 de diciembre de 2014</t>
  </si>
  <si>
    <t xml:space="preserve"> a 31 dediciembre de 2014 en millones de $</t>
  </si>
  <si>
    <t>Fuente: Subdirección de Estadística, Análisis Financiero y Presupuestal, Contraloría de Bogotá</t>
  </si>
  <si>
    <t>Normatividad Relacionada con el Control Fiscal Macroeconómico</t>
  </si>
  <si>
    <t>Constitución Política artículo 268</t>
  </si>
  <si>
    <t>Ley 42 artículo 39 al 43</t>
  </si>
  <si>
    <t>Ley 51 de 1990</t>
  </si>
  <si>
    <t>Ley 80 de 1993</t>
  </si>
  <si>
    <t>Ley 185 de 1995</t>
  </si>
  <si>
    <t>Ley 358 de 1997</t>
  </si>
  <si>
    <t>Ley 533 de 1999</t>
  </si>
  <si>
    <t>Ley 5° de 1992 artículo 254</t>
  </si>
  <si>
    <t>Decreto 2681 de 1993</t>
  </si>
  <si>
    <t>Resolución 5289 de 2001</t>
  </si>
  <si>
    <t> Auditoría al Balance</t>
  </si>
  <si>
    <t>Constitución Política artículo 268,269 y 354</t>
  </si>
  <si>
    <t>Ley 42 de 1993</t>
  </si>
  <si>
    <t>Decreto 267 de 2000</t>
  </si>
  <si>
    <t>Audite 4.0</t>
  </si>
  <si>
    <t>Constitución Política, numeral 11 del artículo 268</t>
  </si>
  <si>
    <t>Ley 42 de 1993 artículo 41</t>
  </si>
  <si>
    <t>Ley 5° de 1992, numeral 3 del artículo 254 - Reglamento del Congreso</t>
  </si>
  <si>
    <t>Cuenta General del Presupuesto y del Tesoro</t>
  </si>
  <si>
    <t>Constitución Política artículos 178, 268 y 354.</t>
  </si>
  <si>
    <t>Ley 5° de 1992 artículos 309 y 310</t>
  </si>
  <si>
    <t>Ley 42 de1993 artículos 38 y 39</t>
  </si>
  <si>
    <t>Decreto 111 de 1996 artículo 90</t>
  </si>
  <si>
    <t>Ley de presupuesto</t>
  </si>
  <si>
    <t>Ley 136 de 1994</t>
  </si>
  <si>
    <t>Certificación de los Ingresos Corrientes de Libre Destinación</t>
  </si>
  <si>
    <t>Ley 617 de octubre 6 de 2000</t>
  </si>
  <si>
    <t>Decreto 192 de 2001</t>
  </si>
  <si>
    <t>Decreto 735 de 2001</t>
  </si>
  <si>
    <t>Resolución CGR 5289 de 2001</t>
  </si>
  <si>
    <t>Resolución CGR 5293 de 2002</t>
  </si>
  <si>
    <r>
      <t> </t>
    </r>
    <r>
      <rPr>
        <b/>
        <sz val="18"/>
        <color rgb="FF0F0F0F"/>
        <rFont val="Arial"/>
        <family val="2"/>
      </rPr>
      <t>Situación de la Deuda Pública</t>
    </r>
  </si>
  <si>
    <r>
      <t> </t>
    </r>
    <r>
      <rPr>
        <b/>
        <sz val="18"/>
        <color rgb="FF0F0F0F"/>
        <rFont val="Arial"/>
        <family val="2"/>
      </rPr>
      <t>Certificación de las Finanzas del Estado</t>
    </r>
  </si>
  <si>
    <r>
      <t> </t>
    </r>
    <r>
      <rPr>
        <b/>
        <sz val="18"/>
        <color rgb="FF0F0F0F"/>
        <rFont val="Arial"/>
        <family val="2"/>
      </rPr>
      <t>Estadísticas fiscales</t>
    </r>
  </si>
  <si>
    <t>Para el cumplimiento de lo establecido en el ordinal 11 del artículo 268 de la Constitución Política, la Contraloría General de la República deberá certificar la situación de las finanzas del Estado y rendir el respectivo informe al Congreso y al Presidente de la República, tomando en cuenta, entre otros, los siguientes factores:</t>
  </si>
  <si>
    <t>- Ingresos y gastos totales.</t>
  </si>
  <si>
    <t>- Superávit o déficit fiscal y presupuestal.</t>
  </si>
  <si>
    <t>- Superávit o déficit de Tesorería y de operaciones efectivas.</t>
  </si>
  <si>
    <t>- Registro de la deuda total.</t>
  </si>
  <si>
    <t>- Resultados financieros de las entidades descentralizadas territorialmente o por servicios.</t>
  </si>
  <si>
    <t>La certificación irá acompañada de los indicadores de gestión y de resultados que señale la Contraloría General de la República.</t>
  </si>
  <si>
    <t>Constitución Política de 1991, artículo 268</t>
  </si>
  <si>
    <t>Ley 5a. De 1992</t>
  </si>
  <si>
    <t>Resolución 5142 de octubre de 2001</t>
  </si>
  <si>
    <t>Ley 617 de 2000, artículo 81</t>
  </si>
  <si>
    <t>El Alcalde liquida el Presupuesto Anual para Bogotá D.C., Decreto 609 del 23 de diciembre de 2013</t>
  </si>
  <si>
    <t>El presupuesto Anual para Bogotá D.C. (la vigencia del 1-01-2014 a 31-12-2014) lo expide el Concejo con el Acuerdo 533 del 16 de diciembre de 2013</t>
  </si>
  <si>
    <t>Estadísticas fiscales</t>
  </si>
  <si>
    <t>El Contralor General de la Republíca tendrá las siguientes atribuciones:</t>
  </si>
  <si>
    <t>Ley 42 de 1993, artículos 36 a 48</t>
  </si>
  <si>
    <t>Artículo 41</t>
  </si>
  <si>
    <t xml:space="preserve">Constitución Política de 1991, artículo 268 </t>
  </si>
  <si>
    <t>Resultados (déficit o Superávit)</t>
  </si>
  <si>
    <t>ESTADÍSTICAS</t>
  </si>
  <si>
    <t>FISCALES</t>
  </si>
  <si>
    <t>“¿Para qué quiere vuestra merced, señor don Juan, que leamos estos disparates, si el que hubiere leído la primera parte de la historia de don Quijote de la Mancha no es posible que pueda tener gusto en leer esta segunda?</t>
  </si>
  <si>
    <r>
      <t>—Con todo eso —dijo el don Juan—, será bien leerla, pues </t>
    </r>
    <r>
      <rPr>
        <sz val="36"/>
        <color rgb="FF0000FF"/>
        <rFont val="Arial"/>
        <family val="2"/>
      </rPr>
      <t>no hay libro tan malo, que no tenga alguna cosa buena</t>
    </r>
    <r>
      <rPr>
        <sz val="36"/>
        <color rgb="FF000000"/>
        <rFont val="Arial"/>
        <family val="2"/>
      </rPr>
      <t>. Lo que a mí en este más desplace es que pinta a don Quijote ya desenamorado de Dulcinea del Toboso”.</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</si>
</sst>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0.0"/>
    <numFmt numFmtId="166" formatCode="_ * #,##0_ ;_ * \-#,##0_ ;_ * &quot;-&quot;??_ ;_ @_ "/>
    <numFmt numFmtId="167" formatCode="#,##0.0"/>
    <numFmt numFmtId="168" formatCode="_ * #,##0.0_ ;_ * \-#,##0.0_ ;_ * &quot;-&quot;??_ ;_ @_ "/>
    <numFmt numFmtId="169" formatCode="_ * #,##0.000_ ;_ * \-#,##0.000_ ;_ * &quot;-&quot;??_ ;_ @_ "/>
    <numFmt numFmtId="170" formatCode="_-* #,##0_-;\-* #,##0_-;_-* &quot;-&quot;??_-;_-@_-"/>
  </numFmts>
  <fonts count="43" x14ac:knownFonts="1">
    <font>
      <sz val="12"/>
      <name val="Arial"/>
    </font>
    <font>
      <sz val="12"/>
      <name val="Arial"/>
      <family val="2"/>
    </font>
    <font>
      <sz val="8"/>
      <name val="Arial"/>
      <family val="2"/>
    </font>
    <font>
      <b/>
      <sz val="8"/>
      <name val="Arial"/>
      <family val="2"/>
    </font>
    <font>
      <b/>
      <sz val="10"/>
      <name val="Arial"/>
      <family val="2"/>
    </font>
    <font>
      <sz val="10"/>
      <name val="Arial"/>
      <family val="2"/>
    </font>
    <font>
      <b/>
      <sz val="10"/>
      <name val="Arial"/>
      <family val="2"/>
    </font>
    <font>
      <b/>
      <sz val="12"/>
      <name val="Arial"/>
      <family val="2"/>
    </font>
    <font>
      <sz val="8"/>
      <name val="Arial"/>
      <family val="2"/>
    </font>
    <font>
      <sz val="10"/>
      <name val="Arial"/>
      <family val="2"/>
    </font>
    <font>
      <sz val="12"/>
      <name val="Arial"/>
      <family val="2"/>
    </font>
    <font>
      <b/>
      <sz val="8"/>
      <name val="Arial"/>
      <family val="2"/>
    </font>
    <font>
      <sz val="10"/>
      <color indexed="8"/>
      <name val="Arial"/>
      <family val="2"/>
    </font>
    <font>
      <sz val="9"/>
      <name val="Arial"/>
      <family val="2"/>
    </font>
    <font>
      <i/>
      <sz val="10"/>
      <color indexed="8"/>
      <name val="Arial"/>
      <family val="2"/>
    </font>
    <font>
      <b/>
      <sz val="11"/>
      <name val="Arial"/>
      <family val="2"/>
    </font>
    <font>
      <b/>
      <sz val="14"/>
      <name val="Times New Roman"/>
      <family val="1"/>
    </font>
    <font>
      <sz val="12"/>
      <name val="Times New Roman"/>
      <family val="1"/>
    </font>
    <font>
      <b/>
      <sz val="12"/>
      <name val="Times New Roman"/>
      <family val="1"/>
    </font>
    <font>
      <b/>
      <u val="singleAccounting"/>
      <sz val="10"/>
      <name val="Arial"/>
      <family val="2"/>
    </font>
    <font>
      <b/>
      <sz val="9"/>
      <name val="Arial"/>
      <family val="2"/>
    </font>
    <font>
      <b/>
      <sz val="14"/>
      <name val="Georgia"/>
      <family val="1"/>
    </font>
    <font>
      <b/>
      <sz val="12"/>
      <name val="Georgia"/>
      <family val="1"/>
    </font>
    <font>
      <sz val="12"/>
      <name val="Georgia"/>
      <family val="1"/>
    </font>
    <font>
      <sz val="10"/>
      <name val="Georgia"/>
      <family val="1"/>
    </font>
    <font>
      <b/>
      <sz val="12"/>
      <name val="Arial"/>
      <family val="2"/>
    </font>
    <font>
      <u/>
      <sz val="12"/>
      <color theme="10"/>
      <name val="Arial"/>
      <family val="2"/>
    </font>
    <font>
      <sz val="18"/>
      <name val="Arial"/>
      <family val="2"/>
    </font>
    <font>
      <u/>
      <sz val="18"/>
      <color theme="10"/>
      <name val="Arial"/>
      <family val="2"/>
    </font>
    <font>
      <sz val="18"/>
      <color rgb="FF0F0F0F"/>
      <name val="Arial"/>
      <family val="2"/>
    </font>
    <font>
      <b/>
      <sz val="18"/>
      <color rgb="FF0F0F0F"/>
      <name val="Arial"/>
      <family val="2"/>
    </font>
    <font>
      <b/>
      <i/>
      <sz val="18"/>
      <color rgb="FFFF0000"/>
      <name val="Arial"/>
      <family val="2"/>
    </font>
    <font>
      <sz val="22"/>
      <color rgb="FFFF0000"/>
      <name val="Arial"/>
      <family val="2"/>
    </font>
    <font>
      <u/>
      <sz val="22"/>
      <color theme="10"/>
      <name val="Arial"/>
      <family val="2"/>
    </font>
    <font>
      <sz val="22"/>
      <name val="Arial"/>
      <family val="2"/>
    </font>
    <font>
      <sz val="22"/>
      <color rgb="FF000000"/>
      <name val="Arial"/>
      <family val="2"/>
    </font>
    <font>
      <b/>
      <i/>
      <sz val="22"/>
      <color rgb="FFFF0000"/>
      <name val="Arial"/>
      <family val="2"/>
    </font>
    <font>
      <b/>
      <sz val="22"/>
      <color theme="5"/>
      <name val="Arial"/>
      <family val="2"/>
    </font>
    <font>
      <b/>
      <sz val="24"/>
      <name val="Arial"/>
      <family val="2"/>
    </font>
    <font>
      <sz val="12"/>
      <color rgb="FFFF0000"/>
      <name val="Georgia"/>
      <family val="1"/>
    </font>
    <font>
      <b/>
      <sz val="48"/>
      <name val="Arial"/>
      <family val="2"/>
    </font>
    <font>
      <sz val="36"/>
      <color rgb="FF000000"/>
      <name val="Arial"/>
      <family val="2"/>
    </font>
    <font>
      <sz val="36"/>
      <color rgb="FF0000FF"/>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0000"/>
        <bgColor indexed="64"/>
      </patternFill>
    </fill>
    <fill>
      <patternFill patternType="solid">
        <fgColor rgb="FFFFFF00"/>
        <bgColor indexed="64"/>
      </patternFill>
    </fill>
  </fills>
  <borders count="76">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cellStyleXfs>
  <cellXfs count="611">
    <xf numFmtId="0" fontId="0" fillId="0" borderId="0" xfId="0"/>
    <xf numFmtId="0" fontId="3" fillId="0" borderId="0" xfId="0" applyFont="1" applyFill="1" applyAlignment="1">
      <alignment horizontal="right" vertical="center" wrapText="1"/>
    </xf>
    <xf numFmtId="165" fontId="5" fillId="0" borderId="1" xfId="0" applyNumberFormat="1" applyFont="1" applyBorder="1" applyAlignment="1">
      <alignment horizontal="justify" vertical="center" wrapText="1"/>
    </xf>
    <xf numFmtId="166" fontId="5" fillId="0" borderId="2" xfId="1" applyNumberFormat="1" applyFont="1" applyBorder="1"/>
    <xf numFmtId="166" fontId="5" fillId="0" borderId="3" xfId="1" applyNumberFormat="1" applyFont="1" applyBorder="1"/>
    <xf numFmtId="165" fontId="5" fillId="0" borderId="4" xfId="0" applyNumberFormat="1" applyFont="1" applyBorder="1" applyAlignment="1">
      <alignment horizontal="justify" vertical="center" wrapText="1"/>
    </xf>
    <xf numFmtId="166" fontId="5" fillId="0" borderId="5" xfId="1" applyNumberFormat="1" applyFont="1" applyBorder="1"/>
    <xf numFmtId="167" fontId="5" fillId="0" borderId="6" xfId="0" applyNumberFormat="1" applyFont="1" applyBorder="1" applyProtection="1"/>
    <xf numFmtId="166" fontId="5" fillId="0" borderId="6" xfId="1" applyNumberFormat="1" applyFont="1" applyBorder="1"/>
    <xf numFmtId="165" fontId="5" fillId="0" borderId="7" xfId="0" applyNumberFormat="1" applyFont="1" applyBorder="1" applyProtection="1"/>
    <xf numFmtId="167" fontId="5" fillId="0" borderId="7" xfId="0" applyNumberFormat="1" applyFont="1" applyBorder="1" applyProtection="1"/>
    <xf numFmtId="3" fontId="5" fillId="0" borderId="6" xfId="0" applyNumberFormat="1" applyFont="1" applyBorder="1"/>
    <xf numFmtId="166" fontId="6" fillId="0" borderId="5" xfId="1" applyNumberFormat="1" applyFont="1" applyBorder="1"/>
    <xf numFmtId="167" fontId="6" fillId="0" borderId="6" xfId="0" applyNumberFormat="1" applyFont="1" applyBorder="1" applyProtection="1"/>
    <xf numFmtId="166" fontId="6" fillId="0" borderId="6" xfId="1" applyNumberFormat="1" applyFont="1" applyBorder="1"/>
    <xf numFmtId="165" fontId="6" fillId="0" borderId="7" xfId="0" applyNumberFormat="1" applyFont="1" applyBorder="1" applyProtection="1"/>
    <xf numFmtId="167" fontId="6" fillId="0" borderId="7" xfId="0" applyNumberFormat="1" applyFont="1" applyBorder="1" applyProtection="1"/>
    <xf numFmtId="0" fontId="7" fillId="0" borderId="0" xfId="0" applyFont="1"/>
    <xf numFmtId="165" fontId="8" fillId="0" borderId="4" xfId="0" applyNumberFormat="1" applyFont="1" applyBorder="1" applyAlignment="1">
      <alignment horizontal="justify" wrapText="1"/>
    </xf>
    <xf numFmtId="166" fontId="9" fillId="0" borderId="5" xfId="1" applyNumberFormat="1" applyFont="1" applyBorder="1"/>
    <xf numFmtId="167" fontId="9" fillId="0" borderId="6" xfId="0" applyNumberFormat="1" applyFont="1" applyBorder="1" applyProtection="1"/>
    <xf numFmtId="166" fontId="9" fillId="0" borderId="6" xfId="1" applyNumberFormat="1" applyFont="1" applyBorder="1"/>
    <xf numFmtId="165" fontId="9" fillId="0" borderId="7" xfId="0" applyNumberFormat="1" applyFont="1" applyBorder="1" applyProtection="1"/>
    <xf numFmtId="167" fontId="9" fillId="0" borderId="7" xfId="0" applyNumberFormat="1" applyFont="1" applyBorder="1" applyProtection="1"/>
    <xf numFmtId="0" fontId="10" fillId="0" borderId="0" xfId="0" applyFont="1"/>
    <xf numFmtId="3" fontId="6" fillId="0" borderId="6" xfId="0" applyNumberFormat="1" applyFont="1" applyBorder="1"/>
    <xf numFmtId="166" fontId="6" fillId="0" borderId="8" xfId="1" applyNumberFormat="1" applyFont="1" applyBorder="1"/>
    <xf numFmtId="167" fontId="6" fillId="0" borderId="9" xfId="0" applyNumberFormat="1" applyFont="1" applyBorder="1" applyProtection="1"/>
    <xf numFmtId="166" fontId="6" fillId="0" borderId="9" xfId="1" applyNumberFormat="1" applyFont="1" applyBorder="1"/>
    <xf numFmtId="165" fontId="6" fillId="0" borderId="10" xfId="0" applyNumberFormat="1" applyFont="1" applyBorder="1" applyProtection="1"/>
    <xf numFmtId="167" fontId="6" fillId="0" borderId="10" xfId="0" applyNumberFormat="1" applyFont="1" applyBorder="1" applyProtection="1"/>
    <xf numFmtId="166" fontId="5" fillId="0" borderId="11" xfId="1" applyNumberFormat="1" applyFont="1" applyBorder="1"/>
    <xf numFmtId="167" fontId="5" fillId="0" borderId="12" xfId="0" applyNumberFormat="1" applyFont="1" applyBorder="1" applyProtection="1"/>
    <xf numFmtId="166" fontId="5" fillId="0" borderId="12" xfId="1" applyNumberFormat="1" applyFont="1" applyBorder="1"/>
    <xf numFmtId="165" fontId="5" fillId="0" borderId="13" xfId="0" applyNumberFormat="1" applyFont="1" applyBorder="1" applyProtection="1"/>
    <xf numFmtId="167" fontId="5" fillId="0" borderId="13" xfId="0" applyNumberFormat="1" applyFont="1" applyBorder="1" applyProtection="1"/>
    <xf numFmtId="3" fontId="5" fillId="0" borderId="12" xfId="0" applyNumberFormat="1" applyFont="1" applyBorder="1"/>
    <xf numFmtId="3" fontId="9" fillId="0" borderId="6" xfId="0" applyNumberFormat="1" applyFont="1" applyBorder="1"/>
    <xf numFmtId="166" fontId="6" fillId="0" borderId="14" xfId="1" applyNumberFormat="1" applyFont="1" applyBorder="1"/>
    <xf numFmtId="167" fontId="6" fillId="0" borderId="15" xfId="0" applyNumberFormat="1" applyFont="1" applyBorder="1" applyProtection="1"/>
    <xf numFmtId="166" fontId="6" fillId="0" borderId="15" xfId="1" applyNumberFormat="1" applyFont="1" applyBorder="1"/>
    <xf numFmtId="165" fontId="6" fillId="0" borderId="16" xfId="0" applyNumberFormat="1" applyFont="1" applyBorder="1" applyProtection="1"/>
    <xf numFmtId="167" fontId="6" fillId="0" borderId="16" xfId="0" applyNumberFormat="1" applyFont="1" applyBorder="1" applyProtection="1"/>
    <xf numFmtId="166" fontId="6" fillId="0" borderId="17" xfId="1" applyNumberFormat="1" applyFont="1" applyBorder="1"/>
    <xf numFmtId="167" fontId="6" fillId="0" borderId="18" xfId="0" applyNumberFormat="1" applyFont="1" applyBorder="1" applyProtection="1"/>
    <xf numFmtId="166" fontId="6" fillId="0" borderId="18" xfId="1" applyNumberFormat="1" applyFont="1" applyBorder="1"/>
    <xf numFmtId="165" fontId="6" fillId="0" borderId="19" xfId="0" applyNumberFormat="1" applyFont="1" applyBorder="1" applyProtection="1"/>
    <xf numFmtId="167" fontId="6" fillId="0" borderId="19" xfId="0" applyNumberFormat="1" applyFont="1" applyBorder="1" applyProtection="1"/>
    <xf numFmtId="3" fontId="5" fillId="0" borderId="0" xfId="0" applyNumberFormat="1" applyFont="1"/>
    <xf numFmtId="0" fontId="5" fillId="0" borderId="0" xfId="0" applyFont="1"/>
    <xf numFmtId="3" fontId="2" fillId="0" borderId="0" xfId="0" applyNumberFormat="1" applyFont="1"/>
    <xf numFmtId="165" fontId="11" fillId="0" borderId="23" xfId="0" applyNumberFormat="1" applyFont="1" applyBorder="1" applyAlignment="1">
      <alignment horizontal="center"/>
    </xf>
    <xf numFmtId="165" fontId="11" fillId="0" borderId="24" xfId="0" applyNumberFormat="1" applyFont="1" applyBorder="1" applyAlignment="1">
      <alignment horizontal="center" wrapText="1"/>
    </xf>
    <xf numFmtId="0" fontId="11" fillId="0" borderId="23" xfId="0" applyFont="1" applyBorder="1" applyAlignment="1">
      <alignment horizontal="center"/>
    </xf>
    <xf numFmtId="165" fontId="11" fillId="0" borderId="23" xfId="0" applyNumberFormat="1" applyFont="1" applyBorder="1" applyAlignment="1">
      <alignment horizontal="center" wrapText="1"/>
    </xf>
    <xf numFmtId="165" fontId="11" fillId="0" borderId="25" xfId="0" applyNumberFormat="1" applyFont="1" applyBorder="1" applyAlignment="1">
      <alignment horizontal="center" wrapText="1"/>
    </xf>
    <xf numFmtId="165" fontId="11" fillId="0" borderId="26" xfId="0" applyNumberFormat="1" applyFont="1" applyBorder="1" applyAlignment="1">
      <alignment horizontal="center"/>
    </xf>
    <xf numFmtId="166" fontId="5" fillId="0" borderId="27" xfId="1" applyNumberFormat="1" applyFont="1" applyBorder="1"/>
    <xf numFmtId="167" fontId="5" fillId="0" borderId="28" xfId="0" applyNumberFormat="1" applyFont="1" applyBorder="1" applyProtection="1"/>
    <xf numFmtId="166" fontId="5" fillId="0" borderId="29" xfId="1" applyNumberFormat="1" applyFont="1" applyBorder="1"/>
    <xf numFmtId="167" fontId="5" fillId="0" borderId="30" xfId="0" applyNumberFormat="1" applyFont="1" applyBorder="1" applyProtection="1"/>
    <xf numFmtId="165" fontId="5" fillId="0" borderId="31" xfId="0" applyNumberFormat="1" applyFont="1" applyBorder="1" applyProtection="1"/>
    <xf numFmtId="166" fontId="5" fillId="0" borderId="32" xfId="1" applyNumberFormat="1" applyFont="1" applyBorder="1"/>
    <xf numFmtId="167" fontId="5" fillId="0" borderId="33" xfId="0" applyNumberFormat="1" applyFont="1" applyBorder="1" applyProtection="1"/>
    <xf numFmtId="3" fontId="5" fillId="0" borderId="32" xfId="0" applyNumberFormat="1" applyFont="1" applyBorder="1"/>
    <xf numFmtId="165" fontId="4" fillId="0" borderId="22" xfId="0" applyNumberFormat="1" applyFont="1" applyFill="1" applyBorder="1" applyAlignment="1">
      <alignment horizontal="justify" vertical="center" wrapText="1"/>
    </xf>
    <xf numFmtId="166" fontId="6" fillId="0" borderId="34" xfId="1" applyNumberFormat="1" applyFont="1" applyBorder="1"/>
    <xf numFmtId="167" fontId="6" fillId="0" borderId="35" xfId="0" applyNumberFormat="1" applyFont="1" applyBorder="1" applyProtection="1"/>
    <xf numFmtId="3" fontId="4" fillId="0" borderId="9" xfId="0" applyNumberFormat="1" applyFont="1" applyFill="1" applyBorder="1"/>
    <xf numFmtId="165" fontId="5" fillId="0" borderId="36" xfId="0" applyNumberFormat="1" applyFont="1" applyBorder="1" applyAlignment="1">
      <alignment horizontal="justify" wrapText="1"/>
    </xf>
    <xf numFmtId="165" fontId="5" fillId="0" borderId="4" xfId="0" applyNumberFormat="1" applyFont="1" applyBorder="1" applyAlignment="1">
      <alignment horizontal="justify" wrapText="1"/>
    </xf>
    <xf numFmtId="165" fontId="5" fillId="0" borderId="4" xfId="0" applyNumberFormat="1" applyFont="1" applyBorder="1" applyAlignment="1">
      <alignment horizontal="left" wrapText="1"/>
    </xf>
    <xf numFmtId="165" fontId="5" fillId="0" borderId="1" xfId="0" applyNumberFormat="1" applyFont="1" applyFill="1" applyBorder="1" applyAlignment="1">
      <alignment horizontal="justify" wrapText="1"/>
    </xf>
    <xf numFmtId="167" fontId="5" fillId="0" borderId="35" xfId="0" applyNumberFormat="1" applyFont="1" applyBorder="1" applyProtection="1"/>
    <xf numFmtId="166" fontId="5" fillId="0" borderId="9" xfId="1" applyNumberFormat="1" applyFont="1" applyBorder="1"/>
    <xf numFmtId="165" fontId="5" fillId="0" borderId="10" xfId="0" applyNumberFormat="1" applyFont="1" applyBorder="1" applyProtection="1"/>
    <xf numFmtId="165" fontId="5" fillId="0" borderId="36" xfId="0" applyNumberFormat="1" applyFont="1" applyFill="1" applyBorder="1" applyAlignment="1">
      <alignment horizontal="justify" wrapText="1"/>
    </xf>
    <xf numFmtId="3" fontId="4" fillId="0" borderId="37" xfId="0" applyNumberFormat="1" applyFont="1" applyFill="1" applyBorder="1"/>
    <xf numFmtId="166" fontId="6" fillId="0" borderId="38" xfId="1" applyNumberFormat="1" applyFont="1" applyBorder="1"/>
    <xf numFmtId="167" fontId="6" fillId="0" borderId="39" xfId="0" applyNumberFormat="1" applyFont="1" applyBorder="1" applyProtection="1"/>
    <xf numFmtId="0" fontId="5" fillId="0" borderId="1" xfId="0" applyFont="1" applyFill="1" applyBorder="1" applyAlignment="1">
      <alignment horizontal="justify" wrapText="1"/>
    </xf>
    <xf numFmtId="0" fontId="5" fillId="0" borderId="4" xfId="0" applyFont="1" applyFill="1" applyBorder="1" applyAlignment="1">
      <alignment horizontal="justify" wrapText="1"/>
    </xf>
    <xf numFmtId="0" fontId="4" fillId="0" borderId="22" xfId="0" applyFont="1" applyFill="1" applyBorder="1" applyAlignment="1">
      <alignment horizontal="justify" wrapText="1"/>
    </xf>
    <xf numFmtId="0" fontId="0" fillId="0" borderId="0" xfId="0" applyFill="1"/>
    <xf numFmtId="0" fontId="4" fillId="0" borderId="40" xfId="0" applyFont="1" applyFill="1" applyBorder="1" applyAlignment="1">
      <alignment horizontal="justify" wrapText="1"/>
    </xf>
    <xf numFmtId="3" fontId="6" fillId="0" borderId="18" xfId="0" applyNumberFormat="1" applyFont="1" applyFill="1" applyBorder="1"/>
    <xf numFmtId="0" fontId="0" fillId="0" borderId="0" xfId="0" applyAlignment="1">
      <alignment wrapText="1"/>
    </xf>
    <xf numFmtId="3" fontId="0" fillId="0" borderId="0" xfId="0" applyNumberFormat="1"/>
    <xf numFmtId="0" fontId="3" fillId="0" borderId="0" xfId="0" applyFont="1" applyBorder="1" applyAlignment="1">
      <alignment horizontal="right"/>
    </xf>
    <xf numFmtId="0" fontId="7" fillId="0" borderId="0" xfId="0" applyFont="1" applyAlignment="1"/>
    <xf numFmtId="0" fontId="7" fillId="0" borderId="18" xfId="0" applyFont="1" applyBorder="1"/>
    <xf numFmtId="0" fontId="7" fillId="0" borderId="18" xfId="0" applyFont="1" applyBorder="1" applyAlignment="1">
      <alignment horizontal="center"/>
    </xf>
    <xf numFmtId="165" fontId="7" fillId="0" borderId="18" xfId="0" applyNumberFormat="1" applyFont="1" applyBorder="1" applyAlignment="1">
      <alignment horizontal="center" wrapText="1"/>
    </xf>
    <xf numFmtId="0" fontId="10" fillId="0" borderId="4" xfId="0" applyFont="1" applyBorder="1" applyAlignment="1">
      <alignment wrapText="1"/>
    </xf>
    <xf numFmtId="167" fontId="10" fillId="0" borderId="6" xfId="0" applyNumberFormat="1" applyFont="1" applyBorder="1" applyAlignment="1" applyProtection="1">
      <alignment vertical="center"/>
    </xf>
    <xf numFmtId="0" fontId="9" fillId="0" borderId="0" xfId="0" applyFont="1"/>
    <xf numFmtId="0" fontId="5" fillId="0" borderId="0" xfId="0" applyFont="1" applyAlignment="1">
      <alignment wrapText="1"/>
    </xf>
    <xf numFmtId="0" fontId="4" fillId="2" borderId="41" xfId="0" applyFont="1" applyFill="1" applyBorder="1" applyAlignment="1">
      <alignment horizontal="center" wrapText="1"/>
    </xf>
    <xf numFmtId="0" fontId="4" fillId="2" borderId="42" xfId="0" applyFont="1" applyFill="1" applyBorder="1" applyAlignment="1">
      <alignment horizontal="center" wrapText="1"/>
    </xf>
    <xf numFmtId="0" fontId="4" fillId="2" borderId="34" xfId="0" applyFont="1" applyFill="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43" xfId="0" applyFont="1" applyFill="1" applyBorder="1" applyAlignment="1">
      <alignment horizontal="center"/>
    </xf>
    <xf numFmtId="0" fontId="4" fillId="0" borderId="44" xfId="0" applyFont="1" applyBorder="1" applyAlignment="1">
      <alignment wrapText="1"/>
    </xf>
    <xf numFmtId="0" fontId="4" fillId="0" borderId="44" xfId="0" applyFont="1" applyBorder="1" applyAlignment="1"/>
    <xf numFmtId="0" fontId="4" fillId="0" borderId="1" xfId="0" applyFont="1" applyBorder="1" applyAlignment="1">
      <alignment wrapText="1"/>
    </xf>
    <xf numFmtId="3" fontId="4" fillId="0" borderId="41" xfId="0" applyNumberFormat="1" applyFont="1" applyBorder="1"/>
    <xf numFmtId="3" fontId="4" fillId="0" borderId="3" xfId="0" applyNumberFormat="1" applyFont="1" applyBorder="1"/>
    <xf numFmtId="3" fontId="4" fillId="0" borderId="45" xfId="0" applyNumberFormat="1" applyFont="1" applyBorder="1"/>
    <xf numFmtId="3" fontId="4" fillId="0" borderId="46" xfId="0" applyNumberFormat="1" applyFont="1" applyBorder="1"/>
    <xf numFmtId="0" fontId="5" fillId="0" borderId="4" xfId="0" applyFont="1" applyBorder="1" applyAlignment="1">
      <alignment wrapText="1"/>
    </xf>
    <xf numFmtId="3" fontId="5" fillId="0" borderId="47" xfId="0" applyNumberFormat="1" applyFont="1" applyBorder="1"/>
    <xf numFmtId="3" fontId="5" fillId="0" borderId="7" xfId="0" applyNumberFormat="1" applyFont="1" applyBorder="1"/>
    <xf numFmtId="0" fontId="4" fillId="0" borderId="4" xfId="0" applyFont="1" applyBorder="1" applyAlignment="1">
      <alignment wrapText="1"/>
    </xf>
    <xf numFmtId="3" fontId="4" fillId="0" borderId="47" xfId="0" applyNumberFormat="1" applyFont="1" applyBorder="1"/>
    <xf numFmtId="3" fontId="4" fillId="0" borderId="6" xfId="0" applyNumberFormat="1" applyFont="1" applyBorder="1"/>
    <xf numFmtId="3" fontId="4" fillId="0" borderId="7" xfId="0" applyNumberFormat="1" applyFont="1" applyBorder="1"/>
    <xf numFmtId="3" fontId="4" fillId="0" borderId="32" xfId="0" applyNumberFormat="1" applyFont="1" applyBorder="1"/>
    <xf numFmtId="0" fontId="5" fillId="0" borderId="22" xfId="0" applyFont="1" applyBorder="1" applyAlignment="1">
      <alignment wrapText="1"/>
    </xf>
    <xf numFmtId="3" fontId="5" fillId="0" borderId="9" xfId="0" applyNumberFormat="1" applyFont="1" applyBorder="1"/>
    <xf numFmtId="3" fontId="5" fillId="0" borderId="10" xfId="0" applyNumberFormat="1" applyFont="1" applyBorder="1"/>
    <xf numFmtId="0" fontId="4" fillId="0" borderId="41" xfId="0" applyFont="1" applyBorder="1" applyAlignment="1">
      <alignment wrapText="1"/>
    </xf>
    <xf numFmtId="0" fontId="5" fillId="0" borderId="47" xfId="0" applyFont="1" applyBorder="1" applyAlignment="1">
      <alignment wrapText="1"/>
    </xf>
    <xf numFmtId="0" fontId="4" fillId="0" borderId="47" xfId="0" applyFont="1" applyBorder="1" applyAlignment="1">
      <alignment wrapText="1"/>
    </xf>
    <xf numFmtId="3" fontId="4" fillId="0" borderId="48" xfId="0" applyNumberFormat="1" applyFont="1" applyBorder="1"/>
    <xf numFmtId="3" fontId="5" fillId="0" borderId="48" xfId="0" applyNumberFormat="1" applyFont="1" applyBorder="1"/>
    <xf numFmtId="3" fontId="5" fillId="0" borderId="7" xfId="0" applyNumberFormat="1" applyFont="1" applyBorder="1" applyAlignment="1">
      <alignment horizontal="justify" vertical="center" wrapText="1"/>
    </xf>
    <xf numFmtId="3" fontId="5" fillId="0" borderId="16" xfId="0" applyNumberFormat="1" applyFont="1" applyBorder="1"/>
    <xf numFmtId="3" fontId="5" fillId="0" borderId="49" xfId="0" applyNumberFormat="1" applyFont="1" applyBorder="1"/>
    <xf numFmtId="0" fontId="5" fillId="0" borderId="42" xfId="0" applyFont="1" applyBorder="1" applyAlignment="1">
      <alignment wrapText="1"/>
    </xf>
    <xf numFmtId="0" fontId="4" fillId="2" borderId="1" xfId="0" applyFont="1" applyFill="1" applyBorder="1" applyAlignment="1">
      <alignment wrapText="1"/>
    </xf>
    <xf numFmtId="3" fontId="4" fillId="2" borderId="46" xfId="0" applyNumberFormat="1" applyFont="1" applyFill="1" applyBorder="1"/>
    <xf numFmtId="3" fontId="4" fillId="2" borderId="3" xfId="0" applyNumberFormat="1" applyFont="1" applyFill="1" applyBorder="1"/>
    <xf numFmtId="3" fontId="4" fillId="2" borderId="45" xfId="0" applyNumberFormat="1" applyFont="1" applyFill="1" applyBorder="1"/>
    <xf numFmtId="3" fontId="4" fillId="2" borderId="1" xfId="0" applyNumberFormat="1" applyFont="1" applyFill="1" applyBorder="1"/>
    <xf numFmtId="3" fontId="4" fillId="2" borderId="2" xfId="0" applyNumberFormat="1" applyFont="1" applyFill="1" applyBorder="1"/>
    <xf numFmtId="3" fontId="4" fillId="0" borderId="47" xfId="0" applyNumberFormat="1" applyFont="1" applyFill="1" applyBorder="1"/>
    <xf numFmtId="3" fontId="4" fillId="0" borderId="6" xfId="0" applyNumberFormat="1" applyFont="1" applyFill="1" applyBorder="1"/>
    <xf numFmtId="3" fontId="4" fillId="0" borderId="4" xfId="0" applyNumberFormat="1" applyFont="1" applyFill="1" applyBorder="1"/>
    <xf numFmtId="3" fontId="4" fillId="0" borderId="5" xfId="0" applyNumberFormat="1" applyFont="1" applyFill="1" applyBorder="1"/>
    <xf numFmtId="3" fontId="4" fillId="0" borderId="7" xfId="0" applyNumberFormat="1" applyFont="1" applyFill="1" applyBorder="1"/>
    <xf numFmtId="0" fontId="4" fillId="2" borderId="4" xfId="0" applyFont="1" applyFill="1" applyBorder="1" applyAlignment="1">
      <alignment wrapText="1"/>
    </xf>
    <xf numFmtId="3" fontId="4" fillId="2" borderId="47" xfId="0" applyNumberFormat="1" applyFont="1" applyFill="1" applyBorder="1"/>
    <xf numFmtId="3" fontId="4" fillId="2" borderId="6" xfId="0" applyNumberFormat="1" applyFont="1" applyFill="1" applyBorder="1"/>
    <xf numFmtId="3" fontId="4" fillId="2" borderId="7" xfId="0" applyNumberFormat="1" applyFont="1" applyFill="1" applyBorder="1"/>
    <xf numFmtId="3" fontId="4" fillId="2" borderId="4" xfId="0" applyNumberFormat="1" applyFont="1" applyFill="1" applyBorder="1"/>
    <xf numFmtId="3" fontId="4" fillId="2" borderId="50" xfId="0" applyNumberFormat="1" applyFont="1" applyFill="1" applyBorder="1"/>
    <xf numFmtId="3" fontId="4" fillId="0" borderId="50" xfId="0" applyNumberFormat="1" applyFont="1" applyFill="1" applyBorder="1"/>
    <xf numFmtId="0" fontId="4" fillId="0" borderId="42" xfId="0" applyFont="1" applyBorder="1" applyAlignment="1">
      <alignment wrapText="1"/>
    </xf>
    <xf numFmtId="3" fontId="4" fillId="0" borderId="42" xfId="0" applyNumberFormat="1" applyFont="1" applyFill="1" applyBorder="1"/>
    <xf numFmtId="3" fontId="4" fillId="0" borderId="10" xfId="0" applyNumberFormat="1" applyFont="1" applyBorder="1"/>
    <xf numFmtId="3" fontId="4" fillId="0" borderId="22" xfId="0" applyNumberFormat="1" applyFont="1" applyFill="1" applyBorder="1"/>
    <xf numFmtId="3" fontId="4" fillId="0" borderId="51" xfId="0" applyNumberFormat="1" applyFont="1" applyFill="1" applyBorder="1"/>
    <xf numFmtId="3" fontId="4" fillId="0" borderId="1" xfId="0" applyNumberFormat="1" applyFont="1" applyBorder="1"/>
    <xf numFmtId="3" fontId="4" fillId="0" borderId="2" xfId="0" applyNumberFormat="1" applyFont="1" applyBorder="1"/>
    <xf numFmtId="3" fontId="5" fillId="0" borderId="4" xfId="0" applyNumberFormat="1" applyFont="1" applyBorder="1"/>
    <xf numFmtId="3" fontId="5" fillId="0" borderId="5" xfId="0" applyNumberFormat="1" applyFont="1" applyBorder="1"/>
    <xf numFmtId="3" fontId="4" fillId="0" borderId="4" xfId="0" applyNumberFormat="1" applyFont="1" applyBorder="1"/>
    <xf numFmtId="3" fontId="4" fillId="0" borderId="5" xfId="0" applyNumberFormat="1" applyFont="1" applyBorder="1"/>
    <xf numFmtId="3" fontId="5" fillId="0" borderId="50" xfId="0" applyNumberFormat="1" applyFont="1" applyBorder="1"/>
    <xf numFmtId="3" fontId="5" fillId="0" borderId="22" xfId="0" applyNumberFormat="1" applyFont="1" applyBorder="1"/>
    <xf numFmtId="3" fontId="4" fillId="0" borderId="52" xfId="0" applyNumberFormat="1" applyFont="1" applyBorder="1"/>
    <xf numFmtId="3" fontId="5" fillId="0" borderId="33" xfId="0" applyNumberFormat="1" applyFont="1" applyBorder="1"/>
    <xf numFmtId="0" fontId="6" fillId="2" borderId="40" xfId="0" applyFont="1" applyFill="1" applyBorder="1" applyAlignment="1">
      <alignment horizontal="center" vertical="center"/>
    </xf>
    <xf numFmtId="0" fontId="6" fillId="2" borderId="53"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1" xfId="0" applyFont="1" applyBorder="1" applyAlignment="1">
      <alignment wrapText="1"/>
    </xf>
    <xf numFmtId="3" fontId="6" fillId="0" borderId="46" xfId="0" applyNumberFormat="1" applyFont="1" applyBorder="1"/>
    <xf numFmtId="3" fontId="6" fillId="0" borderId="3" xfId="0" applyNumberFormat="1" applyFont="1" applyBorder="1"/>
    <xf numFmtId="3" fontId="6" fillId="0" borderId="52" xfId="0" applyNumberFormat="1" applyFont="1" applyBorder="1"/>
    <xf numFmtId="3" fontId="6" fillId="0" borderId="1" xfId="0" applyNumberFormat="1" applyFont="1" applyBorder="1"/>
    <xf numFmtId="3" fontId="6" fillId="0" borderId="2" xfId="0" applyNumberFormat="1" applyFont="1" applyBorder="1"/>
    <xf numFmtId="3" fontId="6" fillId="0" borderId="55" xfId="0" applyNumberFormat="1" applyFont="1" applyBorder="1"/>
    <xf numFmtId="0" fontId="6" fillId="0" borderId="4" xfId="0" applyFont="1" applyBorder="1" applyAlignment="1">
      <alignment wrapText="1"/>
    </xf>
    <xf numFmtId="3" fontId="6" fillId="0" borderId="32" xfId="0" applyNumberFormat="1" applyFont="1" applyBorder="1"/>
    <xf numFmtId="3" fontId="6" fillId="0" borderId="33" xfId="0" applyNumberFormat="1" applyFont="1" applyBorder="1"/>
    <xf numFmtId="3" fontId="6" fillId="0" borderId="4" xfId="0" applyNumberFormat="1" applyFont="1" applyBorder="1"/>
    <xf numFmtId="3" fontId="6" fillId="0" borderId="5" xfId="0" applyNumberFormat="1" applyFont="1" applyBorder="1"/>
    <xf numFmtId="3" fontId="6" fillId="0" borderId="56" xfId="0" applyNumberFormat="1" applyFont="1" applyBorder="1"/>
    <xf numFmtId="3" fontId="6" fillId="0" borderId="36" xfId="0" applyNumberFormat="1" applyFont="1" applyBorder="1"/>
    <xf numFmtId="0" fontId="9" fillId="0" borderId="4" xfId="0" applyFont="1" applyBorder="1" applyAlignment="1">
      <alignment wrapText="1"/>
    </xf>
    <xf numFmtId="3" fontId="9" fillId="0" borderId="32" xfId="0" applyNumberFormat="1" applyFont="1" applyBorder="1"/>
    <xf numFmtId="3" fontId="9" fillId="0" borderId="33" xfId="0" applyNumberFormat="1" applyFont="1" applyBorder="1"/>
    <xf numFmtId="3" fontId="9" fillId="0" borderId="4" xfId="0" applyNumberFormat="1" applyFont="1" applyBorder="1"/>
    <xf numFmtId="3" fontId="9" fillId="0" borderId="5" xfId="0" applyNumberFormat="1" applyFont="1" applyBorder="1"/>
    <xf numFmtId="3" fontId="9" fillId="0" borderId="56" xfId="0" applyNumberFormat="1" applyFont="1" applyBorder="1"/>
    <xf numFmtId="3" fontId="9" fillId="0" borderId="36" xfId="0" applyNumberFormat="1" applyFont="1" applyBorder="1"/>
    <xf numFmtId="0" fontId="9" fillId="0" borderId="4" xfId="0" applyFont="1" applyFill="1" applyBorder="1" applyAlignment="1">
      <alignment wrapText="1"/>
    </xf>
    <xf numFmtId="0" fontId="12" fillId="0" borderId="57" xfId="0" applyFont="1" applyBorder="1" applyAlignment="1">
      <alignment horizontal="left" wrapText="1"/>
    </xf>
    <xf numFmtId="0" fontId="9" fillId="0" borderId="7" xfId="0" applyFont="1" applyFill="1" applyBorder="1" applyAlignment="1">
      <alignment wrapText="1"/>
    </xf>
    <xf numFmtId="0" fontId="13" fillId="3" borderId="7" xfId="0" applyFont="1" applyFill="1" applyBorder="1" applyAlignment="1" applyProtection="1">
      <alignment vertical="center" wrapText="1"/>
      <protection locked="0"/>
    </xf>
    <xf numFmtId="0" fontId="5" fillId="0" borderId="7" xfId="0" applyFont="1" applyBorder="1"/>
    <xf numFmtId="0" fontId="14" fillId="0" borderId="7" xfId="0" applyFont="1" applyBorder="1" applyAlignment="1">
      <alignment horizontal="justify" vertical="center" wrapText="1"/>
    </xf>
    <xf numFmtId="0" fontId="6" fillId="0" borderId="4" xfId="0" applyFont="1" applyBorder="1" applyAlignment="1">
      <alignment horizontal="left" wrapText="1"/>
    </xf>
    <xf numFmtId="0" fontId="6" fillId="2" borderId="22" xfId="0" applyFont="1" applyFill="1" applyBorder="1" applyAlignment="1">
      <alignment horizontal="left" wrapText="1"/>
    </xf>
    <xf numFmtId="3" fontId="15" fillId="2" borderId="34" xfId="0" applyNumberFormat="1" applyFont="1" applyFill="1" applyBorder="1"/>
    <xf numFmtId="3" fontId="15" fillId="2" borderId="9" xfId="0" applyNumberFormat="1" applyFont="1" applyFill="1" applyBorder="1"/>
    <xf numFmtId="3" fontId="15" fillId="2" borderId="35" xfId="0" applyNumberFormat="1" applyFont="1" applyFill="1" applyBorder="1"/>
    <xf numFmtId="3" fontId="15" fillId="2" borderId="22" xfId="0" applyNumberFormat="1" applyFont="1" applyFill="1" applyBorder="1"/>
    <xf numFmtId="3" fontId="15" fillId="2" borderId="8" xfId="0" applyNumberFormat="1" applyFont="1" applyFill="1" applyBorder="1"/>
    <xf numFmtId="3" fontId="15" fillId="2" borderId="58" xfId="0" applyNumberFormat="1" applyFont="1" applyFill="1" applyBorder="1"/>
    <xf numFmtId="0" fontId="8" fillId="0" borderId="0" xfId="0" applyFont="1" applyFill="1" applyBorder="1" applyAlignment="1">
      <alignment horizontal="left" wrapText="1"/>
    </xf>
    <xf numFmtId="3" fontId="15" fillId="0" borderId="0" xfId="0" applyNumberFormat="1" applyFont="1" applyFill="1" applyBorder="1"/>
    <xf numFmtId="3" fontId="0" fillId="0" borderId="0" xfId="0" applyNumberFormat="1" applyFill="1"/>
    <xf numFmtId="0" fontId="15" fillId="0" borderId="0" xfId="0" applyFont="1" applyFill="1" applyBorder="1" applyAlignment="1">
      <alignment horizontal="left" wrapText="1"/>
    </xf>
    <xf numFmtId="0" fontId="6" fillId="0" borderId="0" xfId="0" applyFont="1" applyAlignment="1"/>
    <xf numFmtId="0" fontId="6" fillId="0" borderId="1" xfId="0" applyFont="1" applyBorder="1"/>
    <xf numFmtId="3" fontId="6" fillId="0" borderId="3" xfId="0" applyNumberFormat="1" applyFont="1" applyFill="1" applyBorder="1"/>
    <xf numFmtId="3" fontId="6" fillId="0" borderId="52" xfId="0" applyNumberFormat="1" applyFont="1" applyFill="1" applyBorder="1"/>
    <xf numFmtId="3" fontId="6" fillId="0" borderId="1" xfId="0" applyNumberFormat="1" applyFont="1" applyFill="1" applyBorder="1"/>
    <xf numFmtId="0" fontId="9" fillId="0" borderId="4" xfId="0" applyFont="1" applyBorder="1"/>
    <xf numFmtId="3" fontId="9" fillId="0" borderId="47" xfId="0" applyNumberFormat="1" applyFont="1" applyBorder="1"/>
    <xf numFmtId="3" fontId="9" fillId="0" borderId="4" xfId="0" applyNumberFormat="1" applyFont="1" applyFill="1" applyBorder="1"/>
    <xf numFmtId="3" fontId="9" fillId="0" borderId="50" xfId="0" applyNumberFormat="1" applyFont="1" applyBorder="1"/>
    <xf numFmtId="0" fontId="6" fillId="0" borderId="4" xfId="0" applyFont="1" applyBorder="1"/>
    <xf numFmtId="3" fontId="6" fillId="0" borderId="47" xfId="0" applyNumberFormat="1" applyFont="1" applyBorder="1"/>
    <xf numFmtId="3" fontId="6" fillId="0" borderId="50" xfId="0" applyNumberFormat="1" applyFont="1" applyBorder="1"/>
    <xf numFmtId="3" fontId="6" fillId="0" borderId="0" xfId="0" applyNumberFormat="1" applyFont="1"/>
    <xf numFmtId="0" fontId="9" fillId="0" borderId="7" xfId="0" applyFont="1" applyBorder="1" applyAlignment="1">
      <alignment horizontal="justify" vertical="center" wrapText="1"/>
    </xf>
    <xf numFmtId="3" fontId="9" fillId="0" borderId="4" xfId="0" applyNumberFormat="1" applyFont="1" applyBorder="1" applyAlignment="1">
      <alignment horizontal="justify" vertical="justify" wrapText="1"/>
    </xf>
    <xf numFmtId="3" fontId="6" fillId="0" borderId="4" xfId="0" applyNumberFormat="1" applyFont="1" applyBorder="1" applyAlignment="1">
      <alignment horizontal="justify" vertical="justify" wrapText="1"/>
    </xf>
    <xf numFmtId="3" fontId="6" fillId="0" borderId="4" xfId="0" applyNumberFormat="1" applyFont="1" applyFill="1" applyBorder="1"/>
    <xf numFmtId="3" fontId="9" fillId="0" borderId="4" xfId="0" applyNumberFormat="1" applyFont="1" applyBorder="1" applyAlignment="1">
      <alignment horizontal="justify" vertical="center" wrapText="1"/>
    </xf>
    <xf numFmtId="0" fontId="9" fillId="0" borderId="59" xfId="0" applyFont="1" applyBorder="1"/>
    <xf numFmtId="3" fontId="9" fillId="0" borderId="60" xfId="0" applyNumberFormat="1" applyFont="1" applyBorder="1"/>
    <xf numFmtId="3" fontId="9" fillId="0" borderId="61" xfId="0" applyNumberFormat="1" applyFont="1" applyBorder="1"/>
    <xf numFmtId="3" fontId="9" fillId="0" borderId="22" xfId="0" applyNumberFormat="1" applyFont="1" applyFill="1" applyBorder="1"/>
    <xf numFmtId="3" fontId="9" fillId="0" borderId="62" xfId="0" applyNumberFormat="1" applyFont="1" applyBorder="1"/>
    <xf numFmtId="3" fontId="9" fillId="0" borderId="21" xfId="0" applyNumberFormat="1" applyFont="1" applyBorder="1"/>
    <xf numFmtId="0" fontId="6" fillId="2" borderId="40" xfId="0" applyFont="1" applyFill="1" applyBorder="1"/>
    <xf numFmtId="3" fontId="15" fillId="2" borderId="63" xfId="0" applyNumberFormat="1" applyFont="1" applyFill="1" applyBorder="1"/>
    <xf numFmtId="3" fontId="15" fillId="2" borderId="39" xfId="0" applyNumberFormat="1" applyFont="1" applyFill="1" applyBorder="1"/>
    <xf numFmtId="3" fontId="15" fillId="2" borderId="40" xfId="0" applyNumberFormat="1" applyFont="1" applyFill="1" applyBorder="1"/>
    <xf numFmtId="0" fontId="2" fillId="0" borderId="0" xfId="0" applyFont="1" applyFill="1" applyBorder="1"/>
    <xf numFmtId="3" fontId="5" fillId="0" borderId="0" xfId="0" applyNumberFormat="1" applyFont="1" applyFill="1"/>
    <xf numFmtId="0" fontId="5" fillId="0" borderId="0" xfId="0" applyFont="1" applyFill="1" applyBorder="1"/>
    <xf numFmtId="0" fontId="2" fillId="0" borderId="0" xfId="0" applyFont="1"/>
    <xf numFmtId="0" fontId="0" fillId="0" borderId="0" xfId="0" applyFill="1" applyBorder="1"/>
    <xf numFmtId="0" fontId="17" fillId="0" borderId="0" xfId="0" applyFont="1"/>
    <xf numFmtId="0" fontId="17" fillId="0" borderId="0" xfId="0" applyFont="1" applyAlignment="1">
      <alignment wrapText="1"/>
    </xf>
    <xf numFmtId="0" fontId="17" fillId="0" borderId="0" xfId="0" applyFont="1" applyBorder="1"/>
    <xf numFmtId="167" fontId="17" fillId="0" borderId="0" xfId="0" applyNumberFormat="1" applyFont="1" applyBorder="1"/>
    <xf numFmtId="167" fontId="17" fillId="0" borderId="0" xfId="0" applyNumberFormat="1" applyFont="1"/>
    <xf numFmtId="3" fontId="6" fillId="0" borderId="55" xfId="0" applyNumberFormat="1" applyFont="1" applyFill="1" applyBorder="1"/>
    <xf numFmtId="3" fontId="6" fillId="0" borderId="45" xfId="0" applyNumberFormat="1" applyFont="1" applyFill="1" applyBorder="1"/>
    <xf numFmtId="3" fontId="9" fillId="0" borderId="7" xfId="0" applyNumberFormat="1" applyFont="1" applyBorder="1"/>
    <xf numFmtId="3" fontId="6" fillId="0" borderId="7" xfId="0" applyNumberFormat="1" applyFont="1" applyBorder="1"/>
    <xf numFmtId="0" fontId="18" fillId="0" borderId="0" xfId="0" applyFont="1" applyBorder="1" applyAlignment="1">
      <alignment horizontal="center"/>
    </xf>
    <xf numFmtId="167" fontId="18" fillId="0" borderId="0" xfId="0" applyNumberFormat="1" applyFont="1" applyBorder="1"/>
    <xf numFmtId="168" fontId="18" fillId="0" borderId="0" xfId="0" applyNumberFormat="1" applyFont="1" applyBorder="1"/>
    <xf numFmtId="168" fontId="17" fillId="0" borderId="0" xfId="0" applyNumberFormat="1" applyFont="1" applyBorder="1"/>
    <xf numFmtId="165" fontId="17" fillId="0" borderId="0" xfId="0" applyNumberFormat="1" applyFont="1" applyBorder="1" applyProtection="1"/>
    <xf numFmtId="0" fontId="16" fillId="0" borderId="0" xfId="0" applyFont="1" applyBorder="1" applyAlignment="1">
      <alignment vertical="center" wrapText="1"/>
    </xf>
    <xf numFmtId="165" fontId="4" fillId="0" borderId="4" xfId="0" applyNumberFormat="1" applyFont="1" applyFill="1" applyBorder="1" applyAlignment="1">
      <alignment horizontal="justify" vertical="center" wrapText="1"/>
    </xf>
    <xf numFmtId="0" fontId="4" fillId="0" borderId="4" xfId="0" applyFont="1" applyFill="1" applyBorder="1" applyAlignment="1">
      <alignment horizontal="justify" wrapText="1"/>
    </xf>
    <xf numFmtId="165" fontId="5" fillId="0" borderId="4" xfId="0" applyNumberFormat="1" applyFont="1" applyFill="1" applyBorder="1" applyAlignment="1">
      <alignment horizontal="justify" wrapText="1"/>
    </xf>
    <xf numFmtId="0" fontId="5" fillId="0" borderId="36" xfId="0" applyFont="1" applyFill="1" applyBorder="1" applyAlignment="1">
      <alignment horizontal="justify" wrapText="1"/>
    </xf>
    <xf numFmtId="0" fontId="4" fillId="0" borderId="59" xfId="0" applyFont="1" applyFill="1" applyBorder="1" applyAlignment="1">
      <alignment horizontal="justify" wrapText="1"/>
    </xf>
    <xf numFmtId="0" fontId="18" fillId="0" borderId="0" xfId="0" applyFont="1"/>
    <xf numFmtId="0" fontId="5" fillId="0" borderId="26" xfId="0" applyFont="1" applyBorder="1" applyAlignment="1">
      <alignment wrapText="1"/>
    </xf>
    <xf numFmtId="3" fontId="5" fillId="0" borderId="64" xfId="0" applyNumberFormat="1" applyFont="1" applyBorder="1"/>
    <xf numFmtId="3" fontId="5" fillId="0" borderId="37" xfId="0" applyNumberFormat="1" applyFont="1" applyBorder="1"/>
    <xf numFmtId="3" fontId="5" fillId="0" borderId="65" xfId="0" applyNumberFormat="1" applyFont="1" applyBorder="1"/>
    <xf numFmtId="3" fontId="5" fillId="0" borderId="25" xfId="0" applyNumberFormat="1" applyFont="1" applyBorder="1"/>
    <xf numFmtId="0" fontId="9" fillId="3" borderId="7" xfId="0" applyFont="1" applyFill="1" applyBorder="1" applyAlignment="1">
      <alignment wrapText="1"/>
    </xf>
    <xf numFmtId="0" fontId="4" fillId="0" borderId="50" xfId="0" applyFont="1" applyBorder="1" applyAlignment="1">
      <alignment horizontal="center"/>
    </xf>
    <xf numFmtId="165" fontId="5" fillId="0" borderId="50" xfId="0" applyNumberFormat="1" applyFont="1" applyBorder="1" applyProtection="1"/>
    <xf numFmtId="165" fontId="9" fillId="0" borderId="50" xfId="0" applyNumberFormat="1" applyFont="1" applyBorder="1" applyProtection="1"/>
    <xf numFmtId="165" fontId="5" fillId="0" borderId="56" xfId="0" applyNumberFormat="1" applyFont="1" applyBorder="1" applyProtection="1"/>
    <xf numFmtId="0" fontId="6" fillId="0" borderId="40" xfId="0" applyFont="1" applyFill="1" applyBorder="1" applyAlignment="1">
      <alignment horizontal="justify" wrapText="1"/>
    </xf>
    <xf numFmtId="166" fontId="7" fillId="0" borderId="0" xfId="0" applyNumberFormat="1" applyFont="1"/>
    <xf numFmtId="166" fontId="0" fillId="0" borderId="0" xfId="0" applyNumberFormat="1"/>
    <xf numFmtId="0" fontId="6" fillId="0" borderId="22" xfId="0" applyFont="1" applyFill="1" applyBorder="1" applyAlignment="1">
      <alignment horizontal="justify" wrapText="1"/>
    </xf>
    <xf numFmtId="0" fontId="6" fillId="0" borderId="21" xfId="0" applyFont="1" applyFill="1" applyBorder="1" applyAlignment="1">
      <alignment horizontal="justify" wrapText="1"/>
    </xf>
    <xf numFmtId="167" fontId="6" fillId="0" borderId="54" xfId="0" applyNumberFormat="1" applyFont="1" applyBorder="1" applyProtection="1"/>
    <xf numFmtId="166" fontId="6" fillId="0" borderId="29" xfId="1" applyNumberFormat="1" applyFont="1" applyBorder="1"/>
    <xf numFmtId="165" fontId="6" fillId="0" borderId="66" xfId="0" applyNumberFormat="1" applyFont="1" applyBorder="1" applyProtection="1"/>
    <xf numFmtId="166" fontId="6" fillId="0" borderId="67" xfId="1" applyNumberFormat="1" applyFont="1" applyBorder="1"/>
    <xf numFmtId="167" fontId="6" fillId="0" borderId="61" xfId="0" applyNumberFormat="1" applyFont="1" applyBorder="1" applyProtection="1"/>
    <xf numFmtId="166" fontId="5" fillId="0" borderId="68" xfId="1" applyNumberFormat="1" applyFont="1" applyBorder="1"/>
    <xf numFmtId="167" fontId="5" fillId="0" borderId="61" xfId="0" applyNumberFormat="1" applyFont="1" applyBorder="1" applyProtection="1"/>
    <xf numFmtId="166" fontId="5" fillId="0" borderId="15" xfId="1" applyNumberFormat="1" applyFont="1" applyBorder="1"/>
    <xf numFmtId="165" fontId="5" fillId="0" borderId="16" xfId="0" applyNumberFormat="1" applyFont="1" applyBorder="1" applyProtection="1"/>
    <xf numFmtId="3" fontId="4" fillId="0" borderId="38" xfId="0" applyNumberFormat="1" applyFont="1" applyFill="1" applyBorder="1"/>
    <xf numFmtId="0" fontId="5" fillId="0" borderId="59" xfId="0" applyFont="1" applyFill="1" applyBorder="1" applyAlignment="1">
      <alignment horizontal="justify" wrapText="1"/>
    </xf>
    <xf numFmtId="165" fontId="5" fillId="0" borderId="36" xfId="0" applyNumberFormat="1" applyFont="1" applyBorder="1" applyAlignment="1">
      <alignment horizontal="justify" vertical="center" wrapText="1"/>
    </xf>
    <xf numFmtId="0" fontId="3" fillId="0" borderId="69" xfId="0" applyFont="1" applyFill="1" applyBorder="1" applyAlignment="1">
      <alignment horizontal="right" vertical="center" wrapText="1"/>
    </xf>
    <xf numFmtId="0" fontId="3" fillId="0" borderId="70" xfId="0" applyFont="1" applyFill="1" applyBorder="1" applyAlignment="1">
      <alignment horizontal="right" vertical="center" wrapText="1"/>
    </xf>
    <xf numFmtId="165" fontId="4" fillId="0" borderId="40" xfId="0" applyNumberFormat="1" applyFont="1" applyBorder="1" applyAlignment="1">
      <alignment horizontal="center" vertical="center"/>
    </xf>
    <xf numFmtId="165" fontId="4" fillId="0" borderId="34" xfId="0" applyNumberFormat="1" applyFont="1" applyBorder="1" applyAlignment="1">
      <alignment horizontal="center" vertical="center"/>
    </xf>
    <xf numFmtId="165" fontId="4" fillId="0" borderId="9"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165" fontId="4" fillId="0" borderId="10" xfId="0" applyNumberFormat="1" applyFont="1" applyBorder="1" applyAlignment="1">
      <alignment horizontal="center" vertical="center" wrapText="1"/>
    </xf>
    <xf numFmtId="165" fontId="4" fillId="0" borderId="8" xfId="0" applyNumberFormat="1" applyFont="1" applyBorder="1" applyAlignment="1">
      <alignment horizontal="center" vertical="center"/>
    </xf>
    <xf numFmtId="165" fontId="4" fillId="0" borderId="9" xfId="0" applyNumberFormat="1" applyFont="1" applyFill="1" applyBorder="1" applyAlignment="1">
      <alignment horizontal="center" vertical="center"/>
    </xf>
    <xf numFmtId="165" fontId="4" fillId="0" borderId="9" xfId="0" applyNumberFormat="1" applyFont="1" applyBorder="1" applyAlignment="1">
      <alignment horizontal="center" vertical="center"/>
    </xf>
    <xf numFmtId="165" fontId="4" fillId="0" borderId="35" xfId="0" applyNumberFormat="1" applyFont="1" applyBorder="1" applyAlignment="1">
      <alignment horizontal="center" vertical="center"/>
    </xf>
    <xf numFmtId="0" fontId="4" fillId="0" borderId="34" xfId="0" applyFont="1" applyBorder="1" applyAlignment="1">
      <alignment horizontal="center" vertical="center"/>
    </xf>
    <xf numFmtId="166" fontId="5" fillId="0" borderId="0" xfId="1" applyNumberFormat="1" applyFont="1"/>
    <xf numFmtId="166" fontId="5" fillId="0" borderId="4" xfId="1" applyNumberFormat="1" applyFont="1" applyBorder="1"/>
    <xf numFmtId="166" fontId="5" fillId="0" borderId="7" xfId="1" applyNumberFormat="1" applyFont="1" applyBorder="1"/>
    <xf numFmtId="166" fontId="4" fillId="0" borderId="22" xfId="1" applyNumberFormat="1" applyFont="1" applyBorder="1"/>
    <xf numFmtId="166" fontId="4" fillId="0" borderId="8" xfId="1" applyNumberFormat="1" applyFont="1" applyBorder="1"/>
    <xf numFmtId="166" fontId="4" fillId="0" borderId="9" xfId="1" applyNumberFormat="1" applyFont="1" applyBorder="1"/>
    <xf numFmtId="166" fontId="4" fillId="0" borderId="10" xfId="1" applyNumberFormat="1" applyFont="1" applyBorder="1"/>
    <xf numFmtId="166" fontId="4" fillId="0" borderId="0" xfId="1" applyNumberFormat="1" applyFont="1"/>
    <xf numFmtId="166" fontId="5" fillId="0" borderId="1" xfId="1" applyNumberFormat="1" applyFont="1" applyBorder="1"/>
    <xf numFmtId="166" fontId="5" fillId="0" borderId="45" xfId="1" applyNumberFormat="1" applyFont="1" applyBorder="1"/>
    <xf numFmtId="166" fontId="4" fillId="0" borderId="0" xfId="1" applyNumberFormat="1" applyFont="1" applyBorder="1"/>
    <xf numFmtId="166" fontId="4" fillId="0" borderId="4" xfId="1" applyNumberFormat="1" applyFont="1" applyBorder="1"/>
    <xf numFmtId="166" fontId="19" fillId="0" borderId="5" xfId="1" applyNumberFormat="1" applyFont="1" applyBorder="1" applyAlignment="1">
      <alignment horizontal="center"/>
    </xf>
    <xf numFmtId="166" fontId="19" fillId="0" borderId="6" xfId="1" applyNumberFormat="1" applyFont="1" applyBorder="1" applyAlignment="1">
      <alignment horizontal="center"/>
    </xf>
    <xf numFmtId="166" fontId="19" fillId="0" borderId="7" xfId="1" applyNumberFormat="1" applyFont="1" applyBorder="1" applyAlignment="1">
      <alignment horizontal="center"/>
    </xf>
    <xf numFmtId="168" fontId="5" fillId="0" borderId="6" xfId="1" applyNumberFormat="1" applyFont="1" applyBorder="1"/>
    <xf numFmtId="168" fontId="5" fillId="0" borderId="9" xfId="1" applyNumberFormat="1" applyFont="1" applyBorder="1"/>
    <xf numFmtId="168" fontId="5" fillId="0" borderId="0" xfId="1" applyNumberFormat="1" applyFont="1"/>
    <xf numFmtId="168" fontId="5" fillId="0" borderId="3" xfId="1" applyNumberFormat="1" applyFont="1" applyBorder="1"/>
    <xf numFmtId="168" fontId="5" fillId="0" borderId="0" xfId="1" applyNumberFormat="1" applyFont="1" applyBorder="1"/>
    <xf numFmtId="168" fontId="5" fillId="0" borderId="7" xfId="1" applyNumberFormat="1" applyFont="1" applyBorder="1"/>
    <xf numFmtId="168" fontId="5" fillId="0" borderId="10" xfId="1" applyNumberFormat="1" applyFont="1" applyBorder="1"/>
    <xf numFmtId="168" fontId="5" fillId="0" borderId="45" xfId="1" applyNumberFormat="1" applyFont="1" applyBorder="1"/>
    <xf numFmtId="168" fontId="6" fillId="0" borderId="9" xfId="1" applyNumberFormat="1" applyFont="1" applyBorder="1"/>
    <xf numFmtId="166" fontId="6" fillId="0" borderId="10" xfId="1" applyNumberFormat="1" applyFont="1" applyBorder="1"/>
    <xf numFmtId="168" fontId="6" fillId="0" borderId="10" xfId="1" applyNumberFormat="1" applyFont="1" applyBorder="1"/>
    <xf numFmtId="168" fontId="6" fillId="0" borderId="6" xfId="1" applyNumberFormat="1" applyFont="1" applyBorder="1"/>
    <xf numFmtId="166" fontId="6" fillId="0" borderId="7" xfId="1" applyNumberFormat="1" applyFont="1" applyBorder="1"/>
    <xf numFmtId="168" fontId="6" fillId="0" borderId="7" xfId="1" applyNumberFormat="1" applyFont="1" applyBorder="1"/>
    <xf numFmtId="166" fontId="9" fillId="0" borderId="1" xfId="1" applyNumberFormat="1" applyFont="1" applyBorder="1"/>
    <xf numFmtId="166" fontId="9" fillId="0" borderId="4" xfId="1" applyNumberFormat="1" applyFont="1" applyBorder="1"/>
    <xf numFmtId="166" fontId="2" fillId="0" borderId="0" xfId="1" applyNumberFormat="1" applyFont="1"/>
    <xf numFmtId="3" fontId="10" fillId="0" borderId="0" xfId="0" applyNumberFormat="1" applyFont="1"/>
    <xf numFmtId="0" fontId="7" fillId="0" borderId="0" xfId="0" applyFont="1" applyBorder="1" applyAlignment="1">
      <alignment wrapText="1"/>
    </xf>
    <xf numFmtId="3" fontId="10" fillId="0" borderId="6" xfId="0" applyNumberFormat="1" applyFont="1" applyBorder="1" applyAlignment="1">
      <alignment vertical="center"/>
    </xf>
    <xf numFmtId="3" fontId="10" fillId="0" borderId="3" xfId="0" applyNumberFormat="1" applyFont="1" applyBorder="1" applyAlignment="1">
      <alignment vertical="center"/>
    </xf>
    <xf numFmtId="167" fontId="10" fillId="0" borderId="3" xfId="0" applyNumberFormat="1" applyFont="1" applyBorder="1" applyAlignment="1" applyProtection="1">
      <alignment vertical="center"/>
    </xf>
    <xf numFmtId="167" fontId="7" fillId="0" borderId="9" xfId="0" applyNumberFormat="1" applyFont="1" applyBorder="1" applyAlignment="1" applyProtection="1">
      <alignment vertical="center"/>
    </xf>
    <xf numFmtId="0" fontId="10" fillId="0" borderId="1" xfId="0" applyFont="1" applyBorder="1" applyAlignment="1">
      <alignment wrapText="1"/>
    </xf>
    <xf numFmtId="0" fontId="5" fillId="0" borderId="7" xfId="0" applyFont="1" applyFill="1" applyBorder="1" applyAlignment="1">
      <alignment horizontal="left" wrapText="1"/>
    </xf>
    <xf numFmtId="166" fontId="19" fillId="0" borderId="20" xfId="1" applyNumberFormat="1" applyFont="1" applyBorder="1" applyAlignment="1"/>
    <xf numFmtId="166" fontId="19" fillId="0" borderId="36" xfId="1" applyNumberFormat="1" applyFont="1" applyBorder="1" applyAlignment="1"/>
    <xf numFmtId="0" fontId="6" fillId="0" borderId="71" xfId="0" applyFont="1" applyBorder="1" applyAlignment="1">
      <alignment horizontal="center"/>
    </xf>
    <xf numFmtId="0" fontId="3" fillId="0" borderId="55" xfId="0" applyFont="1" applyBorder="1" applyAlignment="1">
      <alignment horizontal="center"/>
    </xf>
    <xf numFmtId="0" fontId="13" fillId="3" borderId="48" xfId="0" applyFont="1" applyFill="1" applyBorder="1" applyAlignment="1" applyProtection="1">
      <alignment vertical="center" wrapText="1"/>
      <protection locked="0"/>
    </xf>
    <xf numFmtId="166" fontId="5" fillId="0" borderId="53" xfId="1" applyNumberFormat="1" applyFont="1" applyBorder="1"/>
    <xf numFmtId="165" fontId="5" fillId="0" borderId="59" xfId="0" applyNumberFormat="1" applyFont="1" applyFill="1" applyBorder="1" applyAlignment="1">
      <alignment horizontal="justify" wrapText="1"/>
    </xf>
    <xf numFmtId="0" fontId="23" fillId="0" borderId="32" xfId="0" applyFont="1" applyBorder="1" applyAlignment="1">
      <alignment wrapText="1"/>
    </xf>
    <xf numFmtId="166" fontId="23" fillId="0" borderId="6" xfId="1" applyNumberFormat="1" applyFont="1" applyBorder="1"/>
    <xf numFmtId="167" fontId="23" fillId="0" borderId="6" xfId="0" applyNumberFormat="1" applyFont="1" applyBorder="1"/>
    <xf numFmtId="167" fontId="23" fillId="0" borderId="7" xfId="0" applyNumberFormat="1" applyFont="1" applyBorder="1"/>
    <xf numFmtId="166" fontId="23" fillId="0" borderId="6" xfId="0" applyNumberFormat="1" applyFont="1" applyBorder="1" applyAlignment="1">
      <alignment wrapText="1"/>
    </xf>
    <xf numFmtId="0" fontId="22" fillId="0" borderId="32" xfId="0" applyFont="1" applyBorder="1"/>
    <xf numFmtId="167" fontId="22" fillId="0" borderId="6" xfId="0" applyNumberFormat="1" applyFont="1" applyBorder="1"/>
    <xf numFmtId="10" fontId="22" fillId="0" borderId="6" xfId="0" applyNumberFormat="1" applyFont="1" applyBorder="1"/>
    <xf numFmtId="167" fontId="22" fillId="0" borderId="7" xfId="0" applyNumberFormat="1" applyFont="1" applyBorder="1"/>
    <xf numFmtId="0" fontId="22" fillId="0" borderId="34" xfId="0" applyFont="1" applyBorder="1"/>
    <xf numFmtId="167" fontId="22" fillId="0" borderId="9" xfId="0" applyNumberFormat="1" applyFont="1" applyBorder="1"/>
    <xf numFmtId="10" fontId="22" fillId="0" borderId="9" xfId="0" applyNumberFormat="1" applyFont="1" applyBorder="1"/>
    <xf numFmtId="0" fontId="23" fillId="0" borderId="0" xfId="0" applyFont="1" applyBorder="1"/>
    <xf numFmtId="167" fontId="23" fillId="0" borderId="0" xfId="0" applyNumberFormat="1" applyFont="1" applyBorder="1"/>
    <xf numFmtId="10" fontId="23" fillId="0" borderId="0" xfId="0" applyNumberFormat="1" applyFont="1" applyBorder="1"/>
    <xf numFmtId="0" fontId="22" fillId="0" borderId="46" xfId="0" applyFont="1" applyBorder="1" applyAlignment="1">
      <alignment wrapText="1"/>
    </xf>
    <xf numFmtId="166" fontId="22" fillId="0" borderId="3" xfId="1" applyNumberFormat="1" applyFont="1" applyBorder="1" applyAlignment="1">
      <alignment wrapText="1"/>
    </xf>
    <xf numFmtId="167" fontId="22" fillId="0" borderId="3" xfId="0" applyNumberFormat="1" applyFont="1" applyBorder="1"/>
    <xf numFmtId="167" fontId="22" fillId="0" borderId="45" xfId="0" applyNumberFormat="1" applyFont="1" applyBorder="1"/>
    <xf numFmtId="0" fontId="22" fillId="0" borderId="32" xfId="0" applyFont="1" applyBorder="1" applyAlignment="1">
      <alignment wrapText="1"/>
    </xf>
    <xf numFmtId="166" fontId="22" fillId="0" borderId="6" xfId="1" applyNumberFormat="1" applyFont="1" applyBorder="1"/>
    <xf numFmtId="0" fontId="23" fillId="0" borderId="34" xfId="0" applyFont="1" applyBorder="1" applyAlignment="1">
      <alignment wrapText="1"/>
    </xf>
    <xf numFmtId="166" fontId="23" fillId="0" borderId="9" xfId="0" applyNumberFormat="1" applyFont="1" applyBorder="1" applyAlignment="1">
      <alignment wrapText="1"/>
    </xf>
    <xf numFmtId="167" fontId="23" fillId="0" borderId="9" xfId="0" applyNumberFormat="1" applyFont="1" applyBorder="1"/>
    <xf numFmtId="167" fontId="23" fillId="0" borderId="10" xfId="0" applyNumberFormat="1" applyFont="1" applyBorder="1"/>
    <xf numFmtId="0" fontId="23" fillId="0" borderId="0" xfId="0" applyFont="1" applyBorder="1" applyAlignment="1">
      <alignment wrapText="1"/>
    </xf>
    <xf numFmtId="166" fontId="23" fillId="0" borderId="0" xfId="0" applyNumberFormat="1" applyFont="1" applyBorder="1" applyAlignment="1">
      <alignment wrapText="1"/>
    </xf>
    <xf numFmtId="166" fontId="23" fillId="0" borderId="0" xfId="1" applyNumberFormat="1" applyFont="1" applyBorder="1"/>
    <xf numFmtId="166" fontId="23" fillId="0" borderId="6" xfId="0" applyNumberFormat="1" applyFont="1" applyBorder="1" applyAlignment="1">
      <alignment horizontal="center" wrapText="1"/>
    </xf>
    <xf numFmtId="166" fontId="23" fillId="0" borderId="9" xfId="0" applyNumberFormat="1" applyFont="1" applyBorder="1" applyAlignment="1">
      <alignment horizontal="center" wrapText="1"/>
    </xf>
    <xf numFmtId="0" fontId="22" fillId="0" borderId="27" xfId="0" applyFont="1" applyBorder="1" applyAlignment="1">
      <alignment horizontal="center" vertical="center" wrapText="1"/>
    </xf>
    <xf numFmtId="10" fontId="22" fillId="0" borderId="29" xfId="0" applyNumberFormat="1" applyFont="1" applyBorder="1" applyAlignment="1">
      <alignment horizontal="center" vertical="center" wrapText="1"/>
    </xf>
    <xf numFmtId="10" fontId="22" fillId="0" borderId="29" xfId="0" applyNumberFormat="1" applyFont="1" applyBorder="1" applyAlignment="1">
      <alignment horizontal="center" vertical="center"/>
    </xf>
    <xf numFmtId="10" fontId="22" fillId="0" borderId="66" xfId="0" applyNumberFormat="1" applyFont="1" applyBorder="1" applyAlignment="1">
      <alignment horizontal="center" vertical="center" wrapText="1"/>
    </xf>
    <xf numFmtId="168" fontId="22" fillId="0" borderId="3" xfId="1" applyNumberFormat="1" applyFont="1" applyBorder="1"/>
    <xf numFmtId="168" fontId="23" fillId="0" borderId="6" xfId="1" applyNumberFormat="1" applyFont="1" applyBorder="1"/>
    <xf numFmtId="168" fontId="23" fillId="0" borderId="9" xfId="1" applyNumberFormat="1" applyFont="1" applyBorder="1" applyAlignment="1">
      <alignment vertical="center"/>
    </xf>
    <xf numFmtId="167" fontId="23" fillId="0" borderId="9" xfId="0" applyNumberFormat="1" applyFont="1" applyBorder="1" applyAlignment="1">
      <alignment vertical="center"/>
    </xf>
    <xf numFmtId="0" fontId="22" fillId="0" borderId="0" xfId="0" applyFont="1" applyBorder="1" applyAlignment="1">
      <alignment horizontal="center" vertical="center" wrapText="1"/>
    </xf>
    <xf numFmtId="10" fontId="22" fillId="0" borderId="0" xfId="0" applyNumberFormat="1" applyFont="1" applyBorder="1" applyAlignment="1">
      <alignment horizontal="center" vertical="center" wrapText="1"/>
    </xf>
    <xf numFmtId="10" fontId="22" fillId="0" borderId="0" xfId="0" applyNumberFormat="1" applyFont="1" applyBorder="1" applyAlignment="1">
      <alignment horizontal="center" vertical="center"/>
    </xf>
    <xf numFmtId="167" fontId="23" fillId="0" borderId="3" xfId="0" applyNumberFormat="1" applyFont="1" applyBorder="1"/>
    <xf numFmtId="0" fontId="23" fillId="0" borderId="32" xfId="0" applyFont="1" applyBorder="1"/>
    <xf numFmtId="167" fontId="23" fillId="0" borderId="6" xfId="1" applyNumberFormat="1" applyFont="1" applyBorder="1"/>
    <xf numFmtId="0" fontId="22" fillId="0" borderId="34" xfId="0" applyFont="1" applyBorder="1" applyAlignment="1">
      <alignment wrapText="1"/>
    </xf>
    <xf numFmtId="168" fontId="22" fillId="0" borderId="9" xfId="1" applyNumberFormat="1" applyFont="1" applyBorder="1"/>
    <xf numFmtId="168" fontId="23" fillId="0" borderId="0" xfId="1" applyNumberFormat="1" applyFont="1" applyBorder="1"/>
    <xf numFmtId="168" fontId="22" fillId="0" borderId="6" xfId="1" applyNumberFormat="1" applyFont="1" applyBorder="1"/>
    <xf numFmtId="0" fontId="24" fillId="0" borderId="32" xfId="0" applyFont="1" applyBorder="1" applyAlignment="1">
      <alignment wrapText="1"/>
    </xf>
    <xf numFmtId="0" fontId="24" fillId="0" borderId="34" xfId="0" applyFont="1" applyBorder="1" applyAlignment="1">
      <alignment wrapText="1"/>
    </xf>
    <xf numFmtId="168" fontId="23" fillId="0" borderId="9" xfId="1" applyNumberFormat="1" applyFont="1" applyBorder="1"/>
    <xf numFmtId="0" fontId="23" fillId="0" borderId="0" xfId="0" applyFont="1" applyAlignment="1">
      <alignment horizontal="left" wrapText="1"/>
    </xf>
    <xf numFmtId="168" fontId="23" fillId="0" borderId="0" xfId="1" applyNumberFormat="1" applyFont="1"/>
    <xf numFmtId="167" fontId="23" fillId="0" borderId="0" xfId="0" applyNumberFormat="1" applyFont="1"/>
    <xf numFmtId="0" fontId="23" fillId="0" borderId="0" xfId="0" applyFont="1"/>
    <xf numFmtId="0" fontId="22" fillId="0" borderId="45" xfId="0" applyFont="1" applyBorder="1" applyAlignment="1">
      <alignment horizontal="center" wrapText="1"/>
    </xf>
    <xf numFmtId="0" fontId="22" fillId="0" borderId="6" xfId="0" applyFont="1" applyBorder="1" applyAlignment="1">
      <alignment horizontal="center" wrapText="1"/>
    </xf>
    <xf numFmtId="0" fontId="22" fillId="0" borderId="7" xfId="0" applyFont="1" applyBorder="1" applyAlignment="1">
      <alignment horizontal="center" wrapText="1"/>
    </xf>
    <xf numFmtId="0" fontId="23" fillId="0" borderId="6" xfId="0" applyFont="1" applyBorder="1" applyAlignment="1">
      <alignment horizontal="center" wrapText="1"/>
    </xf>
    <xf numFmtId="0" fontId="23" fillId="0" borderId="7" xfId="0" applyFont="1" applyBorder="1" applyAlignment="1">
      <alignment horizontal="center" wrapText="1"/>
    </xf>
    <xf numFmtId="0" fontId="23" fillId="0" borderId="9" xfId="0" applyFont="1" applyBorder="1" applyAlignment="1">
      <alignment horizontal="center" wrapText="1"/>
    </xf>
    <xf numFmtId="0" fontId="23" fillId="0" borderId="10" xfId="0" applyFont="1" applyBorder="1" applyAlignment="1">
      <alignment horizontal="center" wrapText="1"/>
    </xf>
    <xf numFmtId="0" fontId="22" fillId="0" borderId="6" xfId="0" applyFont="1" applyBorder="1" applyAlignment="1">
      <alignment horizontal="center"/>
    </xf>
    <xf numFmtId="0" fontId="22" fillId="0" borderId="7" xfId="0" applyFont="1" applyBorder="1" applyAlignment="1">
      <alignment horizontal="center"/>
    </xf>
    <xf numFmtId="0" fontId="23" fillId="0" borderId="34" xfId="0" applyFont="1" applyBorder="1" applyAlignment="1">
      <alignment horizontal="left" wrapText="1"/>
    </xf>
    <xf numFmtId="0" fontId="23" fillId="0" borderId="0" xfId="0" applyFont="1" applyBorder="1" applyAlignment="1">
      <alignment horizontal="left" wrapText="1"/>
    </xf>
    <xf numFmtId="0" fontId="22" fillId="0" borderId="46" xfId="0" applyFont="1" applyBorder="1" applyAlignment="1">
      <alignment horizontal="left" wrapText="1"/>
    </xf>
    <xf numFmtId="3" fontId="22" fillId="0" borderId="45" xfId="0" applyNumberFormat="1" applyFont="1" applyBorder="1"/>
    <xf numFmtId="0" fontId="22" fillId="0" borderId="32" xfId="0" applyFont="1" applyBorder="1" applyAlignment="1">
      <alignment horizontal="left" wrapText="1"/>
    </xf>
    <xf numFmtId="0" fontId="23" fillId="0" borderId="32" xfId="0" applyFont="1" applyBorder="1" applyAlignment="1">
      <alignment horizontal="left" wrapText="1"/>
    </xf>
    <xf numFmtId="3" fontId="23" fillId="0" borderId="7" xfId="0" applyNumberFormat="1" applyFont="1" applyBorder="1"/>
    <xf numFmtId="4" fontId="23" fillId="0" borderId="7" xfId="0" applyNumberFormat="1" applyFont="1" applyBorder="1"/>
    <xf numFmtId="4" fontId="23" fillId="0" borderId="10" xfId="0" applyNumberFormat="1" applyFont="1" applyBorder="1"/>
    <xf numFmtId="4" fontId="23" fillId="0" borderId="0" xfId="0" applyNumberFormat="1" applyFont="1" applyBorder="1"/>
    <xf numFmtId="168" fontId="22" fillId="0" borderId="0" xfId="1" applyNumberFormat="1" applyFont="1"/>
    <xf numFmtId="3" fontId="22" fillId="0" borderId="0" xfId="0" applyNumberFormat="1" applyFont="1"/>
    <xf numFmtId="165" fontId="22" fillId="0" borderId="7" xfId="0" applyNumberFormat="1" applyFont="1" applyBorder="1"/>
    <xf numFmtId="170" fontId="23" fillId="0" borderId="6" xfId="0" applyNumberFormat="1" applyFont="1" applyBorder="1"/>
    <xf numFmtId="2" fontId="23" fillId="0" borderId="7" xfId="0" applyNumberFormat="1" applyFont="1" applyBorder="1"/>
    <xf numFmtId="0" fontId="23" fillId="0" borderId="0" xfId="0" applyFont="1" applyAlignment="1">
      <alignment wrapText="1"/>
    </xf>
    <xf numFmtId="170" fontId="23" fillId="0" borderId="9" xfId="0" applyNumberFormat="1" applyFont="1" applyBorder="1"/>
    <xf numFmtId="2" fontId="23" fillId="0" borderId="10" xfId="0" applyNumberFormat="1" applyFont="1" applyBorder="1"/>
    <xf numFmtId="170" fontId="23" fillId="0" borderId="0" xfId="0" applyNumberFormat="1" applyFont="1" applyBorder="1"/>
    <xf numFmtId="166" fontId="22" fillId="0" borderId="0" xfId="1" applyNumberFormat="1" applyFont="1"/>
    <xf numFmtId="0" fontId="22" fillId="0" borderId="0" xfId="0" applyFont="1" applyAlignment="1">
      <alignment horizontal="left" wrapText="1"/>
    </xf>
    <xf numFmtId="3" fontId="23" fillId="0" borderId="0" xfId="0" applyNumberFormat="1" applyFont="1"/>
    <xf numFmtId="0" fontId="22" fillId="0" borderId="0" xfId="0" applyFont="1"/>
    <xf numFmtId="165" fontId="23" fillId="0" borderId="0" xfId="0" applyNumberFormat="1" applyFont="1"/>
    <xf numFmtId="169" fontId="23" fillId="0" borderId="0" xfId="1" applyNumberFormat="1" applyFont="1"/>
    <xf numFmtId="0" fontId="22" fillId="0" borderId="0" xfId="0" applyFont="1" applyBorder="1" applyAlignment="1">
      <alignment wrapText="1"/>
    </xf>
    <xf numFmtId="3" fontId="5" fillId="0" borderId="42" xfId="0" applyNumberFormat="1" applyFont="1" applyBorder="1"/>
    <xf numFmtId="0" fontId="7" fillId="0" borderId="40" xfId="0" applyFont="1" applyBorder="1" applyAlignment="1">
      <alignment horizontal="center"/>
    </xf>
    <xf numFmtId="0" fontId="7" fillId="0" borderId="22" xfId="0" applyFont="1" applyBorder="1" applyAlignment="1">
      <alignment vertical="center" wrapText="1"/>
    </xf>
    <xf numFmtId="3" fontId="7" fillId="0" borderId="9" xfId="0" applyNumberFormat="1" applyFont="1" applyBorder="1" applyAlignment="1">
      <alignment vertical="center"/>
    </xf>
    <xf numFmtId="0" fontId="0" fillId="0" borderId="0" xfId="0" applyAlignment="1">
      <alignment vertical="center"/>
    </xf>
    <xf numFmtId="165" fontId="7" fillId="0" borderId="72" xfId="0" applyNumberFormat="1" applyFont="1" applyBorder="1" applyAlignment="1">
      <alignment horizontal="center" wrapText="1"/>
    </xf>
    <xf numFmtId="167" fontId="10" fillId="0" borderId="73" xfId="0" applyNumberFormat="1" applyFont="1" applyBorder="1" applyAlignment="1" applyProtection="1">
      <alignment vertical="center"/>
    </xf>
    <xf numFmtId="167" fontId="10" fillId="0" borderId="48" xfId="0" applyNumberFormat="1" applyFont="1" applyBorder="1" applyAlignment="1" applyProtection="1">
      <alignment vertical="center"/>
    </xf>
    <xf numFmtId="167" fontId="7" fillId="0" borderId="43" xfId="0" applyNumberFormat="1" applyFont="1" applyBorder="1" applyAlignment="1" applyProtection="1">
      <alignment vertical="center"/>
    </xf>
    <xf numFmtId="0" fontId="7" fillId="0" borderId="38" xfId="0" applyFont="1" applyBorder="1"/>
    <xf numFmtId="0" fontId="7" fillId="0" borderId="19" xfId="0" applyFont="1" applyBorder="1" applyAlignment="1">
      <alignment horizontal="center"/>
    </xf>
    <xf numFmtId="3" fontId="10" fillId="0" borderId="46" xfId="0" applyNumberFormat="1" applyFont="1" applyBorder="1" applyAlignment="1">
      <alignment vertical="center"/>
    </xf>
    <xf numFmtId="3" fontId="10" fillId="0" borderId="45" xfId="0" applyNumberFormat="1" applyFont="1" applyBorder="1" applyAlignment="1">
      <alignment vertical="center"/>
    </xf>
    <xf numFmtId="3" fontId="10" fillId="0" borderId="32" xfId="0" applyNumberFormat="1" applyFont="1" applyBorder="1" applyAlignment="1">
      <alignment vertical="center"/>
    </xf>
    <xf numFmtId="3" fontId="10" fillId="0" borderId="7" xfId="0" applyNumberFormat="1" applyFont="1" applyBorder="1" applyAlignment="1">
      <alignment vertical="center"/>
    </xf>
    <xf numFmtId="3" fontId="7" fillId="0" borderId="34" xfId="0" applyNumberFormat="1" applyFont="1" applyBorder="1" applyAlignment="1">
      <alignment vertical="center"/>
    </xf>
    <xf numFmtId="3" fontId="7" fillId="0" borderId="10" xfId="0" applyNumberFormat="1" applyFont="1" applyBorder="1" applyAlignment="1">
      <alignment vertical="center"/>
    </xf>
    <xf numFmtId="0" fontId="17" fillId="0" borderId="0" xfId="0" applyFont="1" applyAlignment="1"/>
    <xf numFmtId="0" fontId="18" fillId="0" borderId="0" xfId="0" applyFont="1" applyBorder="1" applyAlignment="1"/>
    <xf numFmtId="0" fontId="17" fillId="0" borderId="0" xfId="0" applyFont="1" applyBorder="1" applyAlignment="1"/>
    <xf numFmtId="168" fontId="17" fillId="0" borderId="0" xfId="1" applyNumberFormat="1" applyFont="1" applyBorder="1" applyAlignment="1"/>
    <xf numFmtId="168" fontId="17" fillId="0" borderId="0" xfId="0" applyNumberFormat="1" applyFont="1" applyAlignment="1"/>
    <xf numFmtId="3" fontId="17" fillId="0" borderId="0" xfId="0" applyNumberFormat="1" applyFont="1" applyBorder="1" applyAlignment="1"/>
    <xf numFmtId="168" fontId="18" fillId="0" borderId="0" xfId="1" applyNumberFormat="1" applyFont="1" applyBorder="1" applyAlignment="1"/>
    <xf numFmtId="167" fontId="23" fillId="0" borderId="33" xfId="0" applyNumberFormat="1" applyFont="1" applyBorder="1"/>
    <xf numFmtId="167" fontId="22" fillId="0" borderId="33" xfId="0" applyNumberFormat="1" applyFont="1" applyBorder="1"/>
    <xf numFmtId="167" fontId="22" fillId="0" borderId="35" xfId="0" applyNumberFormat="1" applyFont="1" applyBorder="1"/>
    <xf numFmtId="167" fontId="22" fillId="0" borderId="52" xfId="0" applyNumberFormat="1" applyFont="1" applyBorder="1"/>
    <xf numFmtId="167" fontId="23" fillId="0" borderId="35" xfId="0" applyNumberFormat="1" applyFont="1" applyBorder="1"/>
    <xf numFmtId="167" fontId="23" fillId="0" borderId="35" xfId="0" applyNumberFormat="1" applyFont="1" applyBorder="1" applyAlignment="1">
      <alignment vertical="center"/>
    </xf>
    <xf numFmtId="0" fontId="22" fillId="0" borderId="52" xfId="0" applyFont="1" applyBorder="1" applyAlignment="1">
      <alignment wrapText="1"/>
    </xf>
    <xf numFmtId="167" fontId="23" fillId="0" borderId="52" xfId="0" applyNumberFormat="1" applyFont="1" applyBorder="1"/>
    <xf numFmtId="167" fontId="23" fillId="0" borderId="33" xfId="1" applyNumberFormat="1" applyFont="1" applyBorder="1"/>
    <xf numFmtId="165" fontId="23" fillId="0" borderId="33" xfId="0" applyNumberFormat="1" applyFont="1" applyBorder="1"/>
    <xf numFmtId="165" fontId="22" fillId="0" borderId="35" xfId="0" applyNumberFormat="1" applyFont="1" applyBorder="1"/>
    <xf numFmtId="165" fontId="18" fillId="0" borderId="7" xfId="0" applyNumberFormat="1" applyFont="1" applyBorder="1" applyAlignment="1"/>
    <xf numFmtId="165" fontId="17" fillId="0" borderId="7" xfId="0" applyNumberFormat="1" applyFont="1" applyBorder="1" applyAlignment="1"/>
    <xf numFmtId="165" fontId="17" fillId="0" borderId="10" xfId="0" applyNumberFormat="1" applyFont="1" applyBorder="1" applyAlignment="1"/>
    <xf numFmtId="0" fontId="22" fillId="0" borderId="74" xfId="0" applyFont="1" applyBorder="1" applyAlignment="1">
      <alignment horizontal="left" vertical="center" wrapText="1"/>
    </xf>
    <xf numFmtId="167" fontId="22" fillId="0" borderId="12" xfId="0" applyNumberFormat="1" applyFont="1" applyBorder="1" applyAlignment="1">
      <alignment horizontal="center" vertical="center"/>
    </xf>
    <xf numFmtId="167" fontId="22" fillId="0" borderId="28" xfId="0" applyNumberFormat="1" applyFont="1" applyBorder="1" applyAlignment="1">
      <alignment horizontal="center"/>
    </xf>
    <xf numFmtId="165" fontId="18" fillId="0" borderId="13" xfId="0" applyNumberFormat="1" applyFont="1" applyBorder="1" applyAlignment="1"/>
    <xf numFmtId="0" fontId="22" fillId="0" borderId="35" xfId="0" applyFont="1" applyBorder="1" applyAlignment="1">
      <alignment horizontal="center" wrapText="1"/>
    </xf>
    <xf numFmtId="0" fontId="22" fillId="0" borderId="61" xfId="0" applyFont="1" applyBorder="1" applyAlignment="1">
      <alignment horizontal="center"/>
    </xf>
    <xf numFmtId="165" fontId="18" fillId="0" borderId="45" xfId="0" applyNumberFormat="1" applyFont="1" applyBorder="1" applyAlignment="1"/>
    <xf numFmtId="0" fontId="17" fillId="0" borderId="7" xfId="0" applyFont="1" applyBorder="1" applyAlignment="1"/>
    <xf numFmtId="168" fontId="17" fillId="0" borderId="7" xfId="1" applyNumberFormat="1" applyFont="1" applyBorder="1" applyAlignment="1"/>
    <xf numFmtId="168" fontId="17" fillId="0" borderId="10" xfId="1" applyNumberFormat="1" applyFont="1" applyBorder="1" applyAlignment="1"/>
    <xf numFmtId="0" fontId="17" fillId="0" borderId="75" xfId="0" applyFont="1" applyBorder="1" applyAlignment="1"/>
    <xf numFmtId="165" fontId="17" fillId="0" borderId="45" xfId="0" applyNumberFormat="1" applyFont="1" applyBorder="1" applyAlignment="1"/>
    <xf numFmtId="168" fontId="17" fillId="0" borderId="45" xfId="0" applyNumberFormat="1" applyFont="1" applyBorder="1" applyAlignment="1">
      <alignment wrapText="1"/>
    </xf>
    <xf numFmtId="168" fontId="17" fillId="0" borderId="7" xfId="0" applyNumberFormat="1" applyFont="1" applyBorder="1" applyAlignment="1">
      <alignment wrapText="1"/>
    </xf>
    <xf numFmtId="168" fontId="17" fillId="0" borderId="10" xfId="0" applyNumberFormat="1" applyFont="1" applyBorder="1" applyAlignment="1">
      <alignment wrapText="1"/>
    </xf>
    <xf numFmtId="166" fontId="17" fillId="0" borderId="45" xfId="0" applyNumberFormat="1" applyFont="1" applyBorder="1" applyAlignment="1">
      <alignment wrapText="1"/>
    </xf>
    <xf numFmtId="0" fontId="17" fillId="0" borderId="10" xfId="0" applyFont="1" applyBorder="1" applyAlignment="1"/>
    <xf numFmtId="3" fontId="4" fillId="0" borderId="20" xfId="0" applyNumberFormat="1" applyFont="1" applyBorder="1"/>
    <xf numFmtId="3" fontId="5" fillId="0" borderId="35" xfId="0" applyNumberFormat="1" applyFont="1" applyBorder="1"/>
    <xf numFmtId="3" fontId="4" fillId="0" borderId="74" xfId="0" applyNumberFormat="1" applyFont="1" applyBorder="1"/>
    <xf numFmtId="3" fontId="4" fillId="0" borderId="12" xfId="0" applyNumberFormat="1" applyFont="1" applyBorder="1"/>
    <xf numFmtId="3" fontId="4" fillId="0" borderId="13" xfId="0" applyNumberFormat="1" applyFont="1" applyBorder="1"/>
    <xf numFmtId="166" fontId="22" fillId="0" borderId="3" xfId="1" applyNumberFormat="1" applyFont="1" applyBorder="1"/>
    <xf numFmtId="166" fontId="23" fillId="0" borderId="9" xfId="1" applyNumberFormat="1" applyFont="1" applyBorder="1" applyAlignment="1">
      <alignment vertical="center"/>
    </xf>
    <xf numFmtId="166" fontId="23" fillId="0" borderId="6" xfId="0" applyNumberFormat="1" applyFont="1" applyBorder="1"/>
    <xf numFmtId="166" fontId="22" fillId="0" borderId="9" xfId="0" applyNumberFormat="1" applyFont="1" applyBorder="1"/>
    <xf numFmtId="3" fontId="22" fillId="0" borderId="12" xfId="2" applyNumberFormat="1" applyFont="1" applyBorder="1" applyAlignment="1">
      <alignment horizontal="right" vertical="center" wrapText="1"/>
    </xf>
    <xf numFmtId="3" fontId="22" fillId="0" borderId="6" xfId="1" applyNumberFormat="1" applyFont="1" applyBorder="1"/>
    <xf numFmtId="3" fontId="23" fillId="0" borderId="6" xfId="1" applyNumberFormat="1" applyFont="1" applyBorder="1"/>
    <xf numFmtId="3" fontId="23" fillId="0" borderId="9" xfId="1" applyNumberFormat="1" applyFont="1" applyBorder="1"/>
    <xf numFmtId="166" fontId="23" fillId="0" borderId="9" xfId="1" applyNumberFormat="1" applyFont="1" applyBorder="1"/>
    <xf numFmtId="0" fontId="27" fillId="0" borderId="0" xfId="0" applyFont="1"/>
    <xf numFmtId="0" fontId="28" fillId="0" borderId="0" xfId="3" applyFont="1" applyAlignment="1">
      <alignment vertical="center" wrapText="1"/>
    </xf>
    <xf numFmtId="0" fontId="27" fillId="0" borderId="0" xfId="0" applyFont="1" applyAlignment="1">
      <alignment vertical="center" wrapText="1"/>
    </xf>
    <xf numFmtId="0" fontId="29" fillId="0" borderId="0" xfId="0" applyFont="1" applyAlignment="1">
      <alignment vertical="center" wrapText="1"/>
    </xf>
    <xf numFmtId="0" fontId="27" fillId="0" borderId="0" xfId="0" applyFont="1" applyAlignment="1">
      <alignment horizontal="left" vertical="center" wrapText="1" indent="1"/>
    </xf>
    <xf numFmtId="0" fontId="28" fillId="0" borderId="0" xfId="3" applyFont="1" applyAlignment="1">
      <alignment horizontal="left" vertical="center" wrapText="1" indent="1"/>
    </xf>
    <xf numFmtId="0" fontId="30" fillId="0" borderId="0" xfId="0" applyFont="1" applyAlignment="1">
      <alignment vertical="center" wrapText="1"/>
    </xf>
    <xf numFmtId="0" fontId="31" fillId="0" borderId="0" xfId="0" applyFont="1" applyBorder="1" applyAlignment="1">
      <alignment horizontal="left" vertical="center" wrapText="1"/>
    </xf>
    <xf numFmtId="0" fontId="32" fillId="0" borderId="0" xfId="0" applyFont="1"/>
    <xf numFmtId="0" fontId="33" fillId="0" borderId="0" xfId="3" applyFont="1" applyAlignment="1">
      <alignment horizontal="left" vertical="center" wrapText="1"/>
    </xf>
    <xf numFmtId="0" fontId="34" fillId="0" borderId="0" xfId="0" applyFont="1"/>
    <xf numFmtId="0" fontId="35" fillId="0" borderId="0" xfId="0" applyFont="1" applyAlignment="1">
      <alignment horizontal="left" vertical="center" wrapText="1"/>
    </xf>
    <xf numFmtId="0" fontId="34" fillId="0" borderId="0" xfId="0" applyFont="1" applyAlignment="1">
      <alignment horizontal="left"/>
    </xf>
    <xf numFmtId="0" fontId="32" fillId="0" borderId="0" xfId="0" applyFont="1" applyAlignment="1">
      <alignment horizontal="left"/>
    </xf>
    <xf numFmtId="0" fontId="36" fillId="0" borderId="70" xfId="0" applyFont="1" applyBorder="1" applyAlignment="1">
      <alignment horizontal="left" wrapText="1"/>
    </xf>
    <xf numFmtId="0" fontId="36" fillId="0" borderId="0" xfId="0" applyFont="1" applyBorder="1" applyAlignment="1">
      <alignment horizontal="left" wrapText="1"/>
    </xf>
    <xf numFmtId="166" fontId="39" fillId="0" borderId="6" xfId="1" applyNumberFormat="1" applyFont="1" applyBorder="1"/>
    <xf numFmtId="166" fontId="5" fillId="0" borderId="0" xfId="0" applyNumberFormat="1" applyFont="1"/>
    <xf numFmtId="0" fontId="40" fillId="4" borderId="30" xfId="0" applyFont="1" applyFill="1" applyBorder="1" applyAlignment="1">
      <alignment textRotation="135"/>
    </xf>
    <xf numFmtId="165" fontId="4" fillId="0" borderId="32" xfId="0" applyNumberFormat="1" applyFont="1" applyBorder="1" applyAlignment="1">
      <alignment horizontal="center"/>
    </xf>
    <xf numFmtId="165" fontId="4" fillId="0" borderId="6" xfId="0" applyNumberFormat="1"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46" xfId="0" applyFont="1" applyBorder="1" applyAlignment="1">
      <alignment horizontal="center"/>
    </xf>
    <xf numFmtId="0" fontId="4" fillId="0" borderId="3" xfId="0" applyFont="1" applyBorder="1" applyAlignment="1">
      <alignment horizontal="center"/>
    </xf>
    <xf numFmtId="0" fontId="4" fillId="0" borderId="45" xfId="0" applyFont="1" applyBorder="1" applyAlignment="1">
      <alignment horizontal="center"/>
    </xf>
    <xf numFmtId="0" fontId="4" fillId="0" borderId="2" xfId="0" applyFont="1" applyBorder="1" applyAlignment="1">
      <alignment horizontal="center"/>
    </xf>
    <xf numFmtId="165" fontId="4" fillId="0" borderId="46" xfId="0" applyNumberFormat="1" applyFont="1" applyBorder="1" applyAlignment="1">
      <alignment horizontal="center"/>
    </xf>
    <xf numFmtId="165" fontId="4" fillId="0" borderId="3" xfId="0" applyNumberFormat="1" applyFont="1" applyBorder="1" applyAlignment="1">
      <alignment horizontal="center"/>
    </xf>
    <xf numFmtId="165" fontId="4" fillId="0" borderId="52" xfId="0" applyNumberFormat="1" applyFont="1" applyBorder="1" applyAlignment="1">
      <alignment horizontal="center"/>
    </xf>
    <xf numFmtId="0" fontId="4" fillId="0" borderId="27" xfId="0" applyFont="1" applyBorder="1" applyAlignment="1">
      <alignment horizontal="center"/>
    </xf>
    <xf numFmtId="0" fontId="4" fillId="0" borderId="29" xfId="0" applyFont="1" applyBorder="1" applyAlignment="1">
      <alignment horizontal="center"/>
    </xf>
    <xf numFmtId="0" fontId="4" fillId="0" borderId="66" xfId="0" applyFont="1" applyBorder="1" applyAlignment="1">
      <alignment horizontal="center"/>
    </xf>
    <xf numFmtId="165" fontId="4" fillId="0" borderId="5" xfId="0" applyNumberFormat="1" applyFont="1" applyBorder="1" applyAlignment="1">
      <alignment horizontal="center"/>
    </xf>
    <xf numFmtId="165" fontId="3" fillId="0" borderId="41" xfId="0" applyNumberFormat="1" applyFont="1" applyBorder="1" applyAlignment="1">
      <alignment horizontal="center"/>
    </xf>
    <xf numFmtId="165" fontId="3" fillId="0" borderId="2" xfId="0" applyNumberFormat="1" applyFont="1" applyBorder="1" applyAlignment="1">
      <alignment horizontal="center"/>
    </xf>
    <xf numFmtId="0" fontId="3" fillId="0" borderId="55" xfId="0" applyFont="1" applyBorder="1" applyAlignment="1">
      <alignment horizontal="center"/>
    </xf>
    <xf numFmtId="0" fontId="3" fillId="0" borderId="73" xfId="0" applyFont="1" applyBorder="1" applyAlignment="1">
      <alignment horizontal="center"/>
    </xf>
    <xf numFmtId="0" fontId="6" fillId="0" borderId="63" xfId="0" applyFont="1" applyBorder="1" applyAlignment="1">
      <alignment horizontal="center"/>
    </xf>
    <xf numFmtId="0" fontId="6" fillId="0" borderId="71" xfId="0" applyFont="1" applyBorder="1" applyAlignment="1">
      <alignment horizontal="center"/>
    </xf>
    <xf numFmtId="0" fontId="6" fillId="0" borderId="72" xfId="0" applyFont="1" applyBorder="1" applyAlignment="1">
      <alignment horizontal="center"/>
    </xf>
    <xf numFmtId="165" fontId="3" fillId="0" borderId="55" xfId="0" applyNumberFormat="1" applyFont="1" applyBorder="1" applyAlignment="1">
      <alignment horizontal="center"/>
    </xf>
    <xf numFmtId="0" fontId="7" fillId="0" borderId="0" xfId="0" applyFont="1" applyAlignment="1">
      <alignment horizontal="center"/>
    </xf>
    <xf numFmtId="0" fontId="25" fillId="0" borderId="71" xfId="0" applyFont="1" applyFill="1" applyBorder="1" applyAlignment="1">
      <alignment horizontal="center"/>
    </xf>
    <xf numFmtId="0" fontId="25" fillId="0" borderId="44" xfId="0" applyFont="1" applyBorder="1" applyAlignment="1">
      <alignment horizontal="center"/>
    </xf>
    <xf numFmtId="0" fontId="25" fillId="0" borderId="23" xfId="0" applyFont="1" applyBorder="1" applyAlignment="1">
      <alignment horizontal="center"/>
    </xf>
    <xf numFmtId="0" fontId="4" fillId="0" borderId="0" xfId="0" applyFont="1" applyFill="1" applyBorder="1" applyAlignment="1">
      <alignment horizontal="center"/>
    </xf>
    <xf numFmtId="0" fontId="25" fillId="0" borderId="0" xfId="0" applyFont="1" applyFill="1" applyBorder="1" applyAlignment="1">
      <alignment horizontal="center"/>
    </xf>
    <xf numFmtId="0" fontId="20" fillId="0" borderId="0" xfId="0" applyFont="1" applyFill="1" applyAlignment="1">
      <alignment horizontal="center" vertical="center" wrapText="1"/>
    </xf>
    <xf numFmtId="0" fontId="20" fillId="0" borderId="23" xfId="0" applyFont="1" applyFill="1" applyBorder="1" applyAlignment="1">
      <alignment horizontal="center" vertical="center" wrapText="1"/>
    </xf>
    <xf numFmtId="0" fontId="25" fillId="0" borderId="71" xfId="0" applyFont="1" applyBorder="1" applyAlignment="1">
      <alignment horizontal="center"/>
    </xf>
    <xf numFmtId="0" fontId="4" fillId="2" borderId="46" xfId="0" applyFont="1" applyFill="1" applyBorder="1" applyAlignment="1">
      <alignment horizontal="center"/>
    </xf>
    <xf numFmtId="0" fontId="4" fillId="2" borderId="3" xfId="0" applyFont="1" applyFill="1" applyBorder="1" applyAlignment="1">
      <alignment horizontal="center"/>
    </xf>
    <xf numFmtId="0" fontId="4" fillId="2" borderId="45" xfId="0" applyFont="1" applyFill="1" applyBorder="1" applyAlignment="1">
      <alignment horizontal="center"/>
    </xf>
    <xf numFmtId="0" fontId="4" fillId="2" borderId="41" xfId="0" applyFont="1" applyFill="1" applyBorder="1" applyAlignment="1">
      <alignment horizontal="center"/>
    </xf>
    <xf numFmtId="0" fontId="4" fillId="2" borderId="55" xfId="0" applyFont="1" applyFill="1" applyBorder="1" applyAlignment="1">
      <alignment horizontal="center"/>
    </xf>
    <xf numFmtId="0" fontId="4" fillId="2" borderId="73" xfId="0" applyFont="1" applyFill="1" applyBorder="1" applyAlignment="1">
      <alignment horizontal="center"/>
    </xf>
    <xf numFmtId="0" fontId="4" fillId="0" borderId="0" xfId="0" applyFont="1" applyAlignment="1">
      <alignment horizontal="center"/>
    </xf>
    <xf numFmtId="0" fontId="4" fillId="0" borderId="23" xfId="0" applyFont="1" applyBorder="1" applyAlignment="1">
      <alignment horizontal="center"/>
    </xf>
    <xf numFmtId="0" fontId="6" fillId="0" borderId="0" xfId="0" applyFont="1" applyAlignment="1">
      <alignment horizontal="center"/>
    </xf>
    <xf numFmtId="0" fontId="9" fillId="0" borderId="23" xfId="0" applyFont="1" applyBorder="1" applyAlignment="1">
      <alignment horizontal="center"/>
    </xf>
    <xf numFmtId="0" fontId="10" fillId="0" borderId="0" xfId="0" applyFont="1" applyAlignment="1">
      <alignment horizontal="center"/>
    </xf>
    <xf numFmtId="0" fontId="21" fillId="0" borderId="0" xfId="0" applyFont="1" applyBorder="1" applyAlignment="1">
      <alignment horizontal="center" vertical="center" wrapText="1"/>
    </xf>
    <xf numFmtId="0" fontId="21" fillId="0" borderId="23" xfId="0" applyFont="1" applyBorder="1" applyAlignment="1">
      <alignment horizontal="center" vertical="center" wrapText="1"/>
    </xf>
    <xf numFmtId="10" fontId="22" fillId="0" borderId="3" xfId="0" applyNumberFormat="1" applyFont="1" applyBorder="1" applyAlignment="1">
      <alignment horizontal="center" vertical="center"/>
    </xf>
    <xf numFmtId="10" fontId="22" fillId="0" borderId="15" xfId="0" applyNumberFormat="1" applyFont="1" applyBorder="1" applyAlignment="1">
      <alignment horizontal="center" vertical="center"/>
    </xf>
    <xf numFmtId="0" fontId="22" fillId="0" borderId="46" xfId="0" applyFont="1" applyBorder="1" applyAlignment="1">
      <alignment horizontal="center" vertical="center" wrapText="1"/>
    </xf>
    <xf numFmtId="0" fontId="22" fillId="0" borderId="34" xfId="0" applyFont="1" applyBorder="1" applyAlignment="1">
      <alignment horizontal="center" vertical="center" wrapText="1"/>
    </xf>
    <xf numFmtId="10" fontId="22" fillId="0" borderId="3" xfId="0" applyNumberFormat="1" applyFont="1" applyBorder="1" applyAlignment="1">
      <alignment horizontal="center" vertical="center" wrapText="1"/>
    </xf>
    <xf numFmtId="10" fontId="22" fillId="0" borderId="15" xfId="0" applyNumberFormat="1" applyFont="1" applyBorder="1" applyAlignment="1">
      <alignment horizontal="center" vertical="center" wrapText="1"/>
    </xf>
    <xf numFmtId="0" fontId="18" fillId="0" borderId="45" xfId="0" applyFont="1" applyBorder="1" applyAlignment="1">
      <alignment horizontal="center" vertical="center"/>
    </xf>
    <xf numFmtId="0" fontId="18" fillId="0" borderId="16" xfId="0" applyFont="1" applyBorder="1" applyAlignment="1">
      <alignment horizontal="center" vertical="center"/>
    </xf>
    <xf numFmtId="0" fontId="22" fillId="0" borderId="29" xfId="0" applyFont="1" applyBorder="1" applyAlignment="1">
      <alignment horizontal="center" wrapText="1"/>
    </xf>
    <xf numFmtId="0" fontId="22" fillId="0" borderId="68" xfId="0" applyFont="1" applyBorder="1" applyAlignment="1">
      <alignment horizontal="center" wrapText="1"/>
    </xf>
    <xf numFmtId="0" fontId="22" fillId="0" borderId="37" xfId="0" applyFont="1" applyBorder="1" applyAlignment="1">
      <alignment horizontal="center" wrapText="1"/>
    </xf>
    <xf numFmtId="0" fontId="18" fillId="0" borderId="10" xfId="0" applyFont="1" applyBorder="1" applyAlignment="1">
      <alignment horizontal="center" vertical="center"/>
    </xf>
    <xf numFmtId="10" fontId="22" fillId="0" borderId="52" xfId="0" applyNumberFormat="1" applyFont="1" applyBorder="1" applyAlignment="1">
      <alignment horizontal="center" vertical="center"/>
    </xf>
    <xf numFmtId="10" fontId="22" fillId="0" borderId="61" xfId="0" applyNumberFormat="1" applyFont="1" applyBorder="1" applyAlignment="1">
      <alignment horizontal="center" vertical="center"/>
    </xf>
    <xf numFmtId="0" fontId="22" fillId="0" borderId="67" xfId="0" applyFont="1" applyBorder="1" applyAlignment="1">
      <alignment horizontal="center" vertical="center" wrapText="1"/>
    </xf>
    <xf numFmtId="0" fontId="23" fillId="0" borderId="0" xfId="0" applyFont="1" applyBorder="1" applyAlignment="1">
      <alignment horizontal="left" wrapText="1"/>
    </xf>
    <xf numFmtId="0" fontId="22" fillId="0" borderId="3" xfId="0" applyFont="1" applyBorder="1" applyAlignment="1">
      <alignment horizontal="center" wrapText="1"/>
    </xf>
    <xf numFmtId="10" fontId="22" fillId="0" borderId="9" xfId="0" applyNumberFormat="1" applyFont="1" applyBorder="1" applyAlignment="1">
      <alignment horizontal="center" vertical="center" wrapText="1"/>
    </xf>
    <xf numFmtId="10" fontId="22" fillId="0" borderId="9" xfId="0" applyNumberFormat="1" applyFont="1" applyBorder="1" applyAlignment="1">
      <alignment horizontal="center" vertical="center"/>
    </xf>
    <xf numFmtId="0" fontId="22" fillId="0" borderId="32" xfId="0" applyFont="1" applyBorder="1" applyAlignment="1">
      <alignment horizontal="center" vertical="center" wrapText="1"/>
    </xf>
    <xf numFmtId="10" fontId="22" fillId="0" borderId="6" xfId="0" applyNumberFormat="1" applyFont="1" applyBorder="1" applyAlignment="1">
      <alignment horizontal="center" vertical="center" wrapText="1"/>
    </xf>
    <xf numFmtId="10" fontId="22" fillId="0" borderId="6" xfId="0" applyNumberFormat="1" applyFont="1" applyBorder="1" applyAlignment="1">
      <alignment horizontal="center" vertical="center"/>
    </xf>
    <xf numFmtId="0" fontId="22" fillId="0" borderId="3" xfId="0" applyFont="1" applyBorder="1" applyAlignment="1">
      <alignment horizontal="center"/>
    </xf>
    <xf numFmtId="0" fontId="22" fillId="0" borderId="45" xfId="0" applyFont="1" applyBorder="1" applyAlignment="1">
      <alignment horizontal="center"/>
    </xf>
    <xf numFmtId="166" fontId="19" fillId="0" borderId="2" xfId="1" applyNumberFormat="1" applyFont="1" applyBorder="1" applyAlignment="1">
      <alignment horizontal="center"/>
    </xf>
    <xf numFmtId="166" fontId="19" fillId="0" borderId="3" xfId="1" applyNumberFormat="1" applyFont="1" applyBorder="1" applyAlignment="1">
      <alignment horizontal="center"/>
    </xf>
    <xf numFmtId="166" fontId="19" fillId="0" borderId="45" xfId="1" applyNumberFormat="1" applyFont="1" applyBorder="1" applyAlignment="1">
      <alignment horizontal="center"/>
    </xf>
    <xf numFmtId="166" fontId="6" fillId="0" borderId="0" xfId="1" applyNumberFormat="1" applyFont="1" applyAlignment="1">
      <alignment horizontal="center"/>
    </xf>
    <xf numFmtId="166" fontId="4" fillId="0" borderId="0" xfId="1" applyNumberFormat="1" applyFont="1" applyAlignment="1">
      <alignment horizontal="center"/>
    </xf>
    <xf numFmtId="166" fontId="6" fillId="0" borderId="23" xfId="1" applyNumberFormat="1" applyFont="1" applyBorder="1" applyAlignment="1">
      <alignment horizontal="center"/>
    </xf>
    <xf numFmtId="0" fontId="37" fillId="0" borderId="0" xfId="0" applyFont="1" applyBorder="1" applyAlignment="1">
      <alignment horizontal="center" vertical="center" wrapText="1"/>
    </xf>
    <xf numFmtId="0" fontId="29" fillId="0" borderId="0" xfId="0" applyFont="1" applyAlignment="1">
      <alignment horizontal="left" vertical="center" wrapText="1"/>
    </xf>
    <xf numFmtId="0" fontId="28" fillId="0" borderId="0" xfId="3" applyFont="1" applyAlignment="1">
      <alignment horizontal="left" vertical="center" wrapText="1"/>
    </xf>
    <xf numFmtId="0" fontId="38" fillId="0" borderId="0" xfId="0" applyFont="1" applyBorder="1" applyAlignment="1">
      <alignment horizontal="left" vertical="center" wrapText="1"/>
    </xf>
    <xf numFmtId="0" fontId="36" fillId="5" borderId="70"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0" fillId="0" borderId="0" xfId="0" applyFont="1" applyAlignment="1">
      <alignment horizontal="left" vertical="center" wrapText="1"/>
    </xf>
    <xf numFmtId="0" fontId="35" fillId="0" borderId="0" xfId="0" applyFont="1" applyAlignment="1">
      <alignment horizontal="left" vertical="center" wrapText="1"/>
    </xf>
    <xf numFmtId="0" fontId="41" fillId="0" borderId="0" xfId="0" applyFont="1" applyAlignment="1">
      <alignment horizontal="left"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89530685920576"/>
          <c:y val="1.8287643223067366E-2"/>
          <c:w val="0.82310469314079426"/>
          <c:h val="0.67939100119026619"/>
        </c:manualLayout>
      </c:layout>
      <c:barChart>
        <c:barDir val="col"/>
        <c:grouping val="clustered"/>
        <c:varyColors val="0"/>
        <c:ser>
          <c:idx val="0"/>
          <c:order val="0"/>
          <c:tx>
            <c:strRef>
              <c:f>'plan des'!$B$6</c:f>
              <c:strCache>
                <c:ptCount val="1"/>
                <c:pt idx="0">
                  <c:v>Presupuesto</c:v>
                </c:pt>
              </c:strCache>
            </c:strRef>
          </c:tx>
          <c:spPr>
            <a:gradFill rotWithShape="0">
              <a:gsLst>
                <a:gs pos="0">
                  <a:srgbClr val="000082"/>
                </a:gs>
                <a:gs pos="30000">
                  <a:srgbClr val="66008F"/>
                </a:gs>
                <a:gs pos="64999">
                  <a:srgbClr val="BA0066"/>
                </a:gs>
                <a:gs pos="89999">
                  <a:srgbClr val="FF0000"/>
                </a:gs>
                <a:gs pos="100000">
                  <a:srgbClr val="FF8200"/>
                </a:gs>
              </a:gsLst>
              <a:lin ang="0" scaled="1"/>
            </a:gradFill>
            <a:ln w="12700">
              <a:solidFill>
                <a:srgbClr val="000000"/>
              </a:solidFill>
              <a:prstDash val="solid"/>
            </a:ln>
          </c:spPr>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des'!$B$7:$B$9</c:f>
              <c:numCache>
                <c:formatCode>#,##0</c:formatCode>
                <c:ptCount val="3"/>
                <c:pt idx="0">
                  <c:v>6663470046454</c:v>
                </c:pt>
                <c:pt idx="1">
                  <c:v>3896054663666</c:v>
                </c:pt>
                <c:pt idx="2">
                  <c:v>757110073023</c:v>
                </c:pt>
              </c:numCache>
            </c:numRef>
          </c:val>
        </c:ser>
        <c:ser>
          <c:idx val="1"/>
          <c:order val="1"/>
          <c:tx>
            <c:strRef>
              <c:f>'plan des'!$C$6</c:f>
              <c:strCache>
                <c:ptCount val="1"/>
                <c:pt idx="0">
                  <c:v>% part.</c:v>
                </c:pt>
              </c:strCache>
            </c:strRef>
          </c:tx>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des'!$C$7:$C$9</c:f>
            </c:numRef>
          </c:val>
        </c:ser>
        <c:ser>
          <c:idx val="2"/>
          <c:order val="2"/>
          <c:tx>
            <c:strRef>
              <c:f>'plan des'!$D$6</c:f>
              <c:strCache>
                <c:ptCount val="1"/>
                <c:pt idx="0">
                  <c:v>Giros</c:v>
                </c:pt>
              </c:strCache>
            </c:strRef>
          </c:tx>
          <c:spPr>
            <a:pattFill prst="lgCheck">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des'!$D$7:$D$9</c:f>
              <c:numCache>
                <c:formatCode>#,##0</c:formatCode>
                <c:ptCount val="3"/>
                <c:pt idx="0">
                  <c:v>4753296863156</c:v>
                </c:pt>
                <c:pt idx="1">
                  <c:v>1572258270450.96</c:v>
                </c:pt>
                <c:pt idx="2">
                  <c:v>518592931865</c:v>
                </c:pt>
              </c:numCache>
            </c:numRef>
          </c:val>
        </c:ser>
        <c:ser>
          <c:idx val="4"/>
          <c:order val="3"/>
          <c:tx>
            <c:strRef>
              <c:f>'plan des'!$E$6</c:f>
              <c:strCache>
                <c:ptCount val="1"/>
                <c:pt idx="0">
                  <c:v>% ejec.</c:v>
                </c:pt>
              </c:strCache>
            </c:strRef>
          </c:tx>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des'!$E$7:$E$9</c:f>
            </c:numRef>
          </c:val>
        </c:ser>
        <c:ser>
          <c:idx val="5"/>
          <c:order val="4"/>
          <c:tx>
            <c:strRef>
              <c:f>'plan des'!$F$6</c:f>
              <c:strCache>
                <c:ptCount val="1"/>
                <c:pt idx="0">
                  <c:v>Compromisos</c:v>
                </c:pt>
              </c:strCache>
            </c:strRef>
          </c:tx>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des'!$F$7:$F$9</c:f>
            </c:numRef>
          </c:val>
        </c:ser>
        <c:ser>
          <c:idx val="6"/>
          <c:order val="5"/>
          <c:tx>
            <c:strRef>
              <c:f>'plan des'!$G$6</c:f>
              <c:strCache>
                <c:ptCount val="1"/>
                <c:pt idx="0">
                  <c:v>% ejec.</c:v>
                </c:pt>
              </c:strCache>
            </c:strRef>
          </c:tx>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des'!$G$7:$G$9</c:f>
            </c:numRef>
          </c:val>
        </c:ser>
        <c:ser>
          <c:idx val="3"/>
          <c:order val="6"/>
          <c:tx>
            <c:strRef>
              <c:f>'plan des'!$H$6</c:f>
              <c:strCache>
                <c:ptCount val="1"/>
                <c:pt idx="0">
                  <c:v>Total</c:v>
                </c:pt>
              </c:strCache>
            </c:strRef>
          </c:tx>
          <c:spPr>
            <a:pattFill prst="dkDn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'plan des'!$A$7:$A$9</c:f>
              <c:strCache>
                <c:ptCount val="3"/>
                <c:pt idx="0">
                  <c:v>Una ciudad que supera la segregación y la discriminación: el ser humano en el centro de las preocupaciones del desarrollo</c:v>
                </c:pt>
                <c:pt idx="1">
                  <c:v>Un territorio que enfrenta el cambio climático y se ordena alrededor del agua</c:v>
                </c:pt>
                <c:pt idx="2">
                  <c:v>Una Bogotá que defiende y fortalece lo público</c:v>
                </c:pt>
              </c:strCache>
            </c:strRef>
          </c:cat>
          <c:val>
            <c:numRef>
              <c:f>'plan des'!$H$7:$H$9</c:f>
              <c:numCache>
                <c:formatCode>#,##0</c:formatCode>
                <c:ptCount val="3"/>
                <c:pt idx="0">
                  <c:v>5757336698183</c:v>
                </c:pt>
                <c:pt idx="1">
                  <c:v>3267138223138</c:v>
                </c:pt>
                <c:pt idx="2">
                  <c:v>715676131822</c:v>
                </c:pt>
              </c:numCache>
            </c:numRef>
          </c:val>
        </c:ser>
        <c:dLbls>
          <c:showLegendKey val="0"/>
          <c:showVal val="0"/>
          <c:showCatName val="0"/>
          <c:showSerName val="0"/>
          <c:showPercent val="0"/>
          <c:showBubbleSize val="0"/>
        </c:dLbls>
        <c:gapWidth val="150"/>
        <c:axId val="-1991021184"/>
        <c:axId val="-1991018464"/>
      </c:barChart>
      <c:catAx>
        <c:axId val="-1991021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991018464"/>
        <c:crosses val="autoZero"/>
        <c:auto val="1"/>
        <c:lblAlgn val="ctr"/>
        <c:lblOffset val="100"/>
        <c:tickLblSkip val="1"/>
        <c:tickMarkSkip val="1"/>
        <c:noMultiLvlLbl val="0"/>
      </c:catAx>
      <c:valAx>
        <c:axId val="-1991018464"/>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991021184"/>
        <c:crosses val="autoZero"/>
        <c:crossBetween val="between"/>
      </c:valAx>
      <c:spPr>
        <a:noFill/>
        <a:ln w="25400">
          <a:noFill/>
        </a:ln>
      </c:spPr>
    </c:plotArea>
    <c:legend>
      <c:legendPos val="r"/>
      <c:layout>
        <c:manualLayout>
          <c:xMode val="edge"/>
          <c:yMode val="edge"/>
          <c:x val="0.52527075812274371"/>
          <c:y val="0.9109437665900828"/>
          <c:w val="0.42779783393501802"/>
          <c:h val="7.1247128103321344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8659453300946313"/>
          <c:y val="7.1641791044776124E-2"/>
          <c:w val="0.59058075496199003"/>
          <c:h val="0.58805970149253728"/>
        </c:manualLayout>
      </c:layout>
      <c:bar3DChart>
        <c:barDir val="col"/>
        <c:grouping val="standard"/>
        <c:varyColors val="0"/>
        <c:ser>
          <c:idx val="1"/>
          <c:order val="0"/>
          <c:tx>
            <c:strRef>
              <c:f>tips!$C$3</c:f>
              <c:strCache>
                <c:ptCount val="1"/>
                <c:pt idx="0">
                  <c:v>% Part.</c:v>
                </c:pt>
              </c:strCache>
            </c:strRef>
          </c:tx>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tips!$C$4:$C$11</c:f>
            </c:numRef>
          </c:val>
        </c:ser>
        <c:ser>
          <c:idx val="2"/>
          <c:order val="1"/>
          <c:tx>
            <c:strRef>
              <c:f>tips!$D$3</c:f>
              <c:strCache>
                <c:ptCount val="1"/>
                <c:pt idx="0">
                  <c:v>Presupuesto (Gastos)</c:v>
                </c:pt>
              </c:strCache>
            </c:strRef>
          </c:tx>
          <c:spPr>
            <a:solidFill>
              <a:srgbClr val="FFFFCC"/>
            </a:solidFill>
            <a:ln w="12700">
              <a:solidFill>
                <a:srgbClr val="000000"/>
              </a:solidFill>
              <a:prstDash val="solid"/>
            </a:ln>
          </c:spPr>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tips!$D$4:$D$11</c:f>
              <c:numCache>
                <c:formatCode>_ * #,##0_ ;_ * \-#,##0_ ;_ * "-"??_ ;_ @_ </c:formatCode>
                <c:ptCount val="8"/>
                <c:pt idx="1">
                  <c:v>20594413.344224002</c:v>
                </c:pt>
                <c:pt idx="2">
                  <c:v>14730328.933000002</c:v>
                </c:pt>
                <c:pt idx="3">
                  <c:v>7962763.9649999999</c:v>
                </c:pt>
                <c:pt idx="4">
                  <c:v>6404776.9970000004</c:v>
                </c:pt>
                <c:pt idx="5">
                  <c:v>362787.97100000002</c:v>
                </c:pt>
                <c:pt idx="6">
                  <c:v>4677283.4112240002</c:v>
                </c:pt>
                <c:pt idx="7">
                  <c:v>1186801</c:v>
                </c:pt>
              </c:numCache>
            </c:numRef>
          </c:val>
        </c:ser>
        <c:ser>
          <c:idx val="0"/>
          <c:order val="2"/>
          <c:tx>
            <c:strRef>
              <c:f>tips!$B$3</c:f>
              <c:strCache>
                <c:ptCount val="1"/>
                <c:pt idx="0">
                  <c:v>Presupuesto (Ingresos)</c:v>
                </c:pt>
              </c:strCache>
            </c:strRef>
          </c:tx>
          <c:spPr>
            <a:solidFill>
              <a:srgbClr val="9999FF"/>
            </a:solidFill>
            <a:ln w="12700">
              <a:solidFill>
                <a:srgbClr val="000000"/>
              </a:solidFill>
              <a:prstDash val="solid"/>
            </a:ln>
          </c:spPr>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tips!$B$4:$B$11</c:f>
              <c:numCache>
                <c:formatCode>_ * #,##0_ ;_ * \-#,##0_ ;_ * "-"??_ ;_ @_ </c:formatCode>
                <c:ptCount val="8"/>
                <c:pt idx="1">
                  <c:v>20591300.009799339</c:v>
                </c:pt>
                <c:pt idx="2">
                  <c:v>14730328.933000002</c:v>
                </c:pt>
                <c:pt idx="3">
                  <c:v>12259035.845000001</c:v>
                </c:pt>
                <c:pt idx="4">
                  <c:v>2371027.4920000001</c:v>
                </c:pt>
                <c:pt idx="5">
                  <c:v>100265.59600000001</c:v>
                </c:pt>
                <c:pt idx="6">
                  <c:v>4674170.0767989997</c:v>
                </c:pt>
                <c:pt idx="7">
                  <c:v>1186801.0000003369</c:v>
                </c:pt>
              </c:numCache>
            </c:numRef>
          </c:val>
        </c:ser>
        <c:ser>
          <c:idx val="3"/>
          <c:order val="3"/>
          <c:tx>
            <c:strRef>
              <c:f>tips!$E$3</c:f>
              <c:strCache>
                <c:ptCount val="1"/>
                <c:pt idx="0">
                  <c:v>% Part.</c:v>
                </c:pt>
              </c:strCache>
            </c:strRef>
          </c:tx>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tips!$E$4:$E$11</c:f>
            </c:numRef>
          </c:val>
        </c:ser>
        <c:dLbls>
          <c:showLegendKey val="0"/>
          <c:showVal val="0"/>
          <c:showCatName val="0"/>
          <c:showSerName val="0"/>
          <c:showPercent val="0"/>
          <c:showBubbleSize val="0"/>
        </c:dLbls>
        <c:gapWidth val="150"/>
        <c:shape val="box"/>
        <c:axId val="-1991016288"/>
        <c:axId val="-1991016832"/>
        <c:axId val="-79787456"/>
      </c:bar3DChart>
      <c:catAx>
        <c:axId val="-1991016288"/>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s-CO"/>
          </a:p>
        </c:txPr>
        <c:crossAx val="-1991016832"/>
        <c:crosses val="autoZero"/>
        <c:auto val="1"/>
        <c:lblAlgn val="ctr"/>
        <c:lblOffset val="100"/>
        <c:tickLblSkip val="1"/>
        <c:tickMarkSkip val="1"/>
        <c:noMultiLvlLbl val="1"/>
      </c:catAx>
      <c:valAx>
        <c:axId val="-19910168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991016288"/>
        <c:crosses val="autoZero"/>
        <c:crossBetween val="between"/>
        <c:dispUnits>
          <c:builtInUnit val="thousands"/>
        </c:dispUnits>
      </c:valAx>
      <c:serAx>
        <c:axId val="-79787456"/>
        <c:scaling>
          <c:orientation val="minMax"/>
        </c:scaling>
        <c:delete val="0"/>
        <c:axPos val="b"/>
        <c:numFmt formatCode="0.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CO"/>
          </a:p>
        </c:txPr>
        <c:crossAx val="-1991016832"/>
        <c:crosses val="autoZero"/>
        <c:tickLblSkip val="2"/>
        <c:tickMarkSkip val="1"/>
      </c:serAx>
      <c:spPr>
        <a:noFill/>
        <a:ln w="25400">
          <a:noFill/>
        </a:ln>
      </c:spPr>
    </c:plotArea>
    <c:legend>
      <c:legendPos val="r"/>
      <c:layout>
        <c:manualLayout>
          <c:xMode val="edge"/>
          <c:yMode val="edge"/>
          <c:x val="0.63768230058199238"/>
          <c:y val="0.81194029850746263"/>
          <c:w val="0.2735512952185325"/>
          <c:h val="0.1492537313432835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21869526202749881"/>
          <c:y val="2.754828347829362E-2"/>
          <c:w val="0.59435728470376692"/>
          <c:h val="0.62810086330509451"/>
        </c:manualLayout>
      </c:layout>
      <c:bar3DChart>
        <c:barDir val="col"/>
        <c:grouping val="standard"/>
        <c:varyColors val="0"/>
        <c:ser>
          <c:idx val="2"/>
          <c:order val="0"/>
          <c:tx>
            <c:strRef>
              <c:f>tips!$C$39:$C$40</c:f>
              <c:strCache>
                <c:ptCount val="2"/>
                <c:pt idx="0">
                  <c:v>%Part.</c:v>
                </c:pt>
              </c:strCache>
            </c:strRef>
          </c:tx>
          <c:invertIfNegative val="0"/>
          <c:cat>
            <c:strRef>
              <c:f>tips!$A$41:$A$46</c:f>
              <c:strCache>
                <c:ptCount val="6"/>
                <c:pt idx="0">
                  <c:v>La distribución de la ejecución del gasto</c:v>
                </c:pt>
                <c:pt idx="1">
                  <c:v>Funcionamiento </c:v>
                </c:pt>
                <c:pt idx="2">
                  <c:v>Operativos</c:v>
                </c:pt>
                <c:pt idx="3">
                  <c:v>Deuda</c:v>
                </c:pt>
                <c:pt idx="4">
                  <c:v>Inversión </c:v>
                </c:pt>
                <c:pt idx="5">
                  <c:v>Disponibilidad final</c:v>
                </c:pt>
              </c:strCache>
            </c:strRef>
          </c:cat>
          <c:val>
            <c:numRef>
              <c:f>tips!$C$41:$C$46</c:f>
            </c:numRef>
          </c:val>
        </c:ser>
        <c:ser>
          <c:idx val="1"/>
          <c:order val="1"/>
          <c:tx>
            <c:strRef>
              <c:f>tips!$D$39:$D$40</c:f>
              <c:strCache>
                <c:ptCount val="2"/>
                <c:pt idx="0">
                  <c:v>Ejecución del gasto</c:v>
                </c:pt>
              </c:strCache>
            </c:strRef>
          </c:tx>
          <c:spPr>
            <a:solidFill>
              <a:srgbClr val="993366"/>
            </a:solidFill>
            <a:ln w="12700">
              <a:solidFill>
                <a:srgbClr val="000000"/>
              </a:solidFill>
              <a:prstDash val="solid"/>
            </a:ln>
          </c:spPr>
          <c:invertIfNegative val="0"/>
          <c:cat>
            <c:strRef>
              <c:f>tips!$A$41:$A$46</c:f>
              <c:strCache>
                <c:ptCount val="6"/>
                <c:pt idx="0">
                  <c:v>La distribución de la ejecución del gasto</c:v>
                </c:pt>
                <c:pt idx="1">
                  <c:v>Funcionamiento </c:v>
                </c:pt>
                <c:pt idx="2">
                  <c:v>Operativos</c:v>
                </c:pt>
                <c:pt idx="3">
                  <c:v>Deuda</c:v>
                </c:pt>
                <c:pt idx="4">
                  <c:v>Inversión </c:v>
                </c:pt>
                <c:pt idx="5">
                  <c:v>Disponibilidad final</c:v>
                </c:pt>
              </c:strCache>
            </c:strRef>
          </c:cat>
          <c:val>
            <c:numRef>
              <c:f>tips!$D$41:$D$46</c:f>
              <c:numCache>
                <c:formatCode>_ * #,##0_ ;_ * \-#,##0_ ;_ * "-"??_ ;_ @_ </c:formatCode>
                <c:ptCount val="6"/>
                <c:pt idx="0">
                  <c:v>17860898.877063733</c:v>
                </c:pt>
                <c:pt idx="1">
                  <c:v>3406904.1620218838</c:v>
                </c:pt>
                <c:pt idx="2">
                  <c:v>1725118.7150198487</c:v>
                </c:pt>
                <c:pt idx="3">
                  <c:v>375824.30116199999</c:v>
                </c:pt>
                <c:pt idx="4">
                  <c:v>12353051.698860001</c:v>
                </c:pt>
                <c:pt idx="5">
                  <c:v>0</c:v>
                </c:pt>
              </c:numCache>
            </c:numRef>
          </c:val>
        </c:ser>
        <c:ser>
          <c:idx val="0"/>
          <c:order val="2"/>
          <c:tx>
            <c:strRef>
              <c:f>tips!$B$39:$B$40</c:f>
              <c:strCache>
                <c:ptCount val="2"/>
                <c:pt idx="0">
                  <c:v>Presupuesto</c:v>
                </c:pt>
              </c:strCache>
            </c:strRef>
          </c:tx>
          <c:spPr>
            <a:solidFill>
              <a:srgbClr val="9999FF"/>
            </a:solidFill>
            <a:ln w="12700">
              <a:solidFill>
                <a:srgbClr val="000000"/>
              </a:solidFill>
              <a:prstDash val="solid"/>
            </a:ln>
          </c:spPr>
          <c:invertIfNegative val="0"/>
          <c:cat>
            <c:strRef>
              <c:f>tips!$A$41:$A$46</c:f>
              <c:strCache>
                <c:ptCount val="6"/>
                <c:pt idx="0">
                  <c:v>La distribución de la ejecución del gasto</c:v>
                </c:pt>
                <c:pt idx="1">
                  <c:v>Funcionamiento </c:v>
                </c:pt>
                <c:pt idx="2">
                  <c:v>Operativos</c:v>
                </c:pt>
                <c:pt idx="3">
                  <c:v>Deuda</c:v>
                </c:pt>
                <c:pt idx="4">
                  <c:v>Inversión </c:v>
                </c:pt>
                <c:pt idx="5">
                  <c:v>Disponibilidad final</c:v>
                </c:pt>
              </c:strCache>
            </c:strRef>
          </c:cat>
          <c:val>
            <c:numRef>
              <c:f>tips!$B$41:$B$46</c:f>
              <c:numCache>
                <c:formatCode>_ * #,##0_ ;_ * \-#,##0_ ;_ * "-"??_ ;_ @_ </c:formatCode>
                <c:ptCount val="6"/>
                <c:pt idx="0">
                  <c:v>20502241.676672351</c:v>
                </c:pt>
                <c:pt idx="1">
                  <c:v>3721423.4374525002</c:v>
                </c:pt>
                <c:pt idx="2">
                  <c:v>1792185.529257</c:v>
                </c:pt>
                <c:pt idx="3">
                  <c:v>557929.94720699999</c:v>
                </c:pt>
                <c:pt idx="4">
                  <c:v>14249160.759072</c:v>
                </c:pt>
                <c:pt idx="5">
                  <c:v>181542.00368384834</c:v>
                </c:pt>
              </c:numCache>
            </c:numRef>
          </c:val>
        </c:ser>
        <c:ser>
          <c:idx val="3"/>
          <c:order val="3"/>
          <c:tx>
            <c:strRef>
              <c:f>tips!$E$39:$E$40</c:f>
              <c:strCache>
                <c:ptCount val="2"/>
                <c:pt idx="0">
                  <c:v>Ejecución del gasto</c:v>
                </c:pt>
                <c:pt idx="1">
                  <c:v>%</c:v>
                </c:pt>
              </c:strCache>
            </c:strRef>
          </c:tx>
          <c:invertIfNegative val="0"/>
          <c:cat>
            <c:strRef>
              <c:f>tips!$A$41:$A$46</c:f>
              <c:strCache>
                <c:ptCount val="6"/>
                <c:pt idx="0">
                  <c:v>La distribución de la ejecución del gasto</c:v>
                </c:pt>
                <c:pt idx="1">
                  <c:v>Funcionamiento </c:v>
                </c:pt>
                <c:pt idx="2">
                  <c:v>Operativos</c:v>
                </c:pt>
                <c:pt idx="3">
                  <c:v>Deuda</c:v>
                </c:pt>
                <c:pt idx="4">
                  <c:v>Inversión </c:v>
                </c:pt>
                <c:pt idx="5">
                  <c:v>Disponibilidad final</c:v>
                </c:pt>
              </c:strCache>
            </c:strRef>
          </c:cat>
          <c:val>
            <c:numRef>
              <c:f>tips!$E$41:$E$46</c:f>
            </c:numRef>
          </c:val>
        </c:ser>
        <c:dLbls>
          <c:showLegendKey val="0"/>
          <c:showVal val="0"/>
          <c:showCatName val="0"/>
          <c:showSerName val="0"/>
          <c:showPercent val="0"/>
          <c:showBubbleSize val="0"/>
        </c:dLbls>
        <c:gapWidth val="150"/>
        <c:shape val="box"/>
        <c:axId val="-2086188208"/>
        <c:axId val="-2086177872"/>
        <c:axId val="-79784336"/>
      </c:bar3DChart>
      <c:catAx>
        <c:axId val="-2086188208"/>
        <c:scaling>
          <c:orientation val="minMax"/>
        </c:scaling>
        <c:delete val="0"/>
        <c:axPos val="b"/>
        <c:numFmt formatCode="General" sourceLinked="1"/>
        <c:majorTickMark val="out"/>
        <c:minorTickMark val="none"/>
        <c:tickLblPos val="low"/>
        <c:spPr>
          <a:ln w="3175">
            <a:solidFill>
              <a:srgbClr val="000000"/>
            </a:solidFill>
            <a:prstDash val="solid"/>
          </a:ln>
        </c:spPr>
        <c:txPr>
          <a:bodyPr rot="-2400000" vert="horz"/>
          <a:lstStyle/>
          <a:p>
            <a:pPr>
              <a:defRPr sz="575" b="0" i="0" u="none" strike="noStrike" baseline="0">
                <a:solidFill>
                  <a:srgbClr val="000000"/>
                </a:solidFill>
                <a:latin typeface="Arial"/>
                <a:ea typeface="Arial"/>
                <a:cs typeface="Arial"/>
              </a:defRPr>
            </a:pPr>
            <a:endParaRPr lang="es-CO"/>
          </a:p>
        </c:txPr>
        <c:crossAx val="-2086177872"/>
        <c:crosses val="autoZero"/>
        <c:auto val="1"/>
        <c:lblAlgn val="ctr"/>
        <c:lblOffset val="100"/>
        <c:tickLblSkip val="1"/>
        <c:tickMarkSkip val="1"/>
        <c:noMultiLvlLbl val="1"/>
      </c:catAx>
      <c:valAx>
        <c:axId val="-2086177872"/>
        <c:scaling>
          <c:orientation val="minMax"/>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s-CO"/>
          </a:p>
        </c:txPr>
        <c:crossAx val="-2086188208"/>
        <c:crosses val="autoZero"/>
        <c:crossBetween val="between"/>
      </c:valAx>
      <c:serAx>
        <c:axId val="-79784336"/>
        <c:scaling>
          <c:orientation val="minMax"/>
        </c:scaling>
        <c:delete val="0"/>
        <c:axPos val="b"/>
        <c:numFmt formatCode="0.00%" sourceLinked="1"/>
        <c:majorTickMark val="out"/>
        <c:minorTickMark val="none"/>
        <c:tickLblPos val="low"/>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s-CO"/>
          </a:p>
        </c:txPr>
        <c:crossAx val="-2086177872"/>
        <c:crosses val="autoZero"/>
        <c:tickLblSkip val="1"/>
        <c:tickMarkSkip val="1"/>
      </c:serAx>
      <c:spPr>
        <a:noFill/>
        <a:ln w="25400">
          <a:noFill/>
        </a:ln>
      </c:spPr>
    </c:plotArea>
    <c:legend>
      <c:legendPos val="r"/>
      <c:layout>
        <c:manualLayout>
          <c:xMode val="edge"/>
          <c:yMode val="edge"/>
          <c:x val="8.8183606678794768E-2"/>
          <c:y val="0.85399680411849344"/>
          <c:w val="0.52028311275905326"/>
          <c:h val="0.1212124104321670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PRESUPUESTO</a:t>
            </a:r>
            <a:r>
              <a:rPr lang="es-CO" baseline="0"/>
              <a:t> 2014</a:t>
            </a:r>
            <a:endParaRPr lang="es-CO"/>
          </a:p>
        </c:rich>
      </c:tx>
      <c:layout/>
      <c:overlay val="0"/>
      <c:spPr>
        <a:noFill/>
        <a:ln w="25400">
          <a:noFill/>
        </a:ln>
      </c:spPr>
    </c:title>
    <c:autoTitleDeleted val="0"/>
    <c:plotArea>
      <c:layout>
        <c:manualLayout>
          <c:layoutTarget val="inner"/>
          <c:xMode val="edge"/>
          <c:yMode val="edge"/>
          <c:x val="0.1255525399750563"/>
          <c:y val="0.10112793012942348"/>
          <c:w val="0.70531062340611683"/>
          <c:h val="0.71500927685763416"/>
        </c:manualLayout>
      </c:layout>
      <c:barChart>
        <c:barDir val="col"/>
        <c:grouping val="clustered"/>
        <c:varyColors val="0"/>
        <c:ser>
          <c:idx val="0"/>
          <c:order val="0"/>
          <c:tx>
            <c:strRef>
              <c:f>tips!$B$3</c:f>
              <c:strCache>
                <c:ptCount val="1"/>
                <c:pt idx="0">
                  <c:v>Presupuesto (Ingresos)</c:v>
                </c:pt>
              </c:strCache>
            </c:strRef>
          </c:tx>
          <c:spPr>
            <a:solidFill>
              <a:srgbClr val="FFC000"/>
            </a:solidFill>
            <a:ln cap="sq">
              <a:noFill/>
            </a:ln>
            <a:effectLst>
              <a:glow rad="12700">
                <a:schemeClr val="accent1"/>
              </a:glow>
              <a:outerShdw blurRad="50800" dist="50800" dir="5400000" sx="2000" sy="2000" algn="ctr" rotWithShape="0">
                <a:srgbClr val="000000">
                  <a:alpha val="0"/>
                </a:srgbClr>
              </a:outerShdw>
            </a:effectLst>
            <a:scene3d>
              <a:camera prst="orthographicFront"/>
              <a:lightRig rig="sunset" dir="t"/>
            </a:scene3d>
            <a:sp3d prstMaterial="matte">
              <a:bevelT w="254000" prst="angle"/>
            </a:sp3d>
          </c:spPr>
          <c:invertIfNegative val="0"/>
          <c:dPt>
            <c:idx val="1"/>
            <c:invertIfNegative val="0"/>
            <c:bubble3D val="0"/>
            <c:spPr>
              <a:solidFill>
                <a:srgbClr val="FFC000"/>
              </a:solidFill>
              <a:ln cap="sq">
                <a:noFill/>
              </a:ln>
              <a:effectLst>
                <a:glow rad="12700">
                  <a:schemeClr val="accent1"/>
                </a:glow>
                <a:outerShdw blurRad="50800" dist="50800" dir="5400000" sx="2000" sy="2000" algn="ctr" rotWithShape="0">
                  <a:srgbClr val="000000">
                    <a:alpha val="0"/>
                  </a:srgbClr>
                </a:outerShdw>
                <a:softEdge rad="114300"/>
              </a:effectLst>
              <a:scene3d>
                <a:camera prst="orthographicFront"/>
                <a:lightRig rig="sunset" dir="t"/>
              </a:scene3d>
              <a:sp3d prstMaterial="matte">
                <a:bevelT w="254000" prst="angle"/>
              </a:sp3d>
            </c:spPr>
          </c:dPt>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tips!$B$4:$B$11</c:f>
              <c:numCache>
                <c:formatCode>_ * #,##0_ ;_ * \-#,##0_ ;_ * "-"??_ ;_ @_ </c:formatCode>
                <c:ptCount val="8"/>
                <c:pt idx="1">
                  <c:v>20591300.009799339</c:v>
                </c:pt>
                <c:pt idx="2">
                  <c:v>14730328.933000002</c:v>
                </c:pt>
                <c:pt idx="3">
                  <c:v>12259035.845000001</c:v>
                </c:pt>
                <c:pt idx="4">
                  <c:v>2371027.4920000001</c:v>
                </c:pt>
                <c:pt idx="5">
                  <c:v>100265.59600000001</c:v>
                </c:pt>
                <c:pt idx="6">
                  <c:v>4674170.0767989997</c:v>
                </c:pt>
                <c:pt idx="7">
                  <c:v>1186801.0000003369</c:v>
                </c:pt>
              </c:numCache>
            </c:numRef>
          </c:val>
        </c:ser>
        <c:ser>
          <c:idx val="2"/>
          <c:order val="2"/>
          <c:tx>
            <c:strRef>
              <c:f>tips!$D$3</c:f>
              <c:strCache>
                <c:ptCount val="1"/>
                <c:pt idx="0">
                  <c:v>Presupuesto (Gastos)</c:v>
                </c:pt>
              </c:strCache>
            </c:strRef>
          </c:tx>
          <c:spPr>
            <a:solidFill>
              <a:srgbClr val="FF0000"/>
            </a:solidFill>
            <a:ln>
              <a:noFill/>
            </a:ln>
            <a:effectLst>
              <a:innerShdw blurRad="63500" dist="139700" dir="10800000">
                <a:prstClr val="black">
                  <a:alpha val="50000"/>
                </a:prstClr>
              </a:innerShdw>
              <a:softEdge rad="31750"/>
            </a:effectLst>
            <a:scene3d>
              <a:camera prst="orthographicFront"/>
              <a:lightRig rig="threePt" dir="t">
                <a:rot lat="0" lon="0" rev="4800000"/>
              </a:lightRig>
            </a:scene3d>
            <a:sp3d prstMaterial="dkEdge">
              <a:bevelT w="292100" prst="angle"/>
              <a:bevelB w="82550" prst="angle"/>
            </a:sp3d>
          </c:spPr>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tips!$D$4:$D$11</c:f>
              <c:numCache>
                <c:formatCode>_ * #,##0_ ;_ * \-#,##0_ ;_ * "-"??_ ;_ @_ </c:formatCode>
                <c:ptCount val="8"/>
                <c:pt idx="1">
                  <c:v>20594413.344224002</c:v>
                </c:pt>
                <c:pt idx="2">
                  <c:v>14730328.933000002</c:v>
                </c:pt>
                <c:pt idx="3">
                  <c:v>7962763.9649999999</c:v>
                </c:pt>
                <c:pt idx="4">
                  <c:v>6404776.9970000004</c:v>
                </c:pt>
                <c:pt idx="5">
                  <c:v>362787.97100000002</c:v>
                </c:pt>
                <c:pt idx="6">
                  <c:v>4677283.4112240002</c:v>
                </c:pt>
                <c:pt idx="7">
                  <c:v>1186801</c:v>
                </c:pt>
              </c:numCache>
            </c:numRef>
          </c:val>
        </c:ser>
        <c:dLbls>
          <c:showLegendKey val="0"/>
          <c:showVal val="0"/>
          <c:showCatName val="0"/>
          <c:showSerName val="0"/>
          <c:showPercent val="0"/>
          <c:showBubbleSize val="0"/>
        </c:dLbls>
        <c:gapWidth val="24"/>
        <c:overlap val="-7"/>
        <c:axId val="-2086181136"/>
        <c:axId val="-2086183856"/>
      </c:barChart>
      <c:barChart>
        <c:barDir val="col"/>
        <c:grouping val="clustered"/>
        <c:varyColors val="0"/>
        <c:ser>
          <c:idx val="1"/>
          <c:order val="1"/>
          <c:tx>
            <c:strRef>
              <c:f>tips!$C$3</c:f>
              <c:strCache>
                <c:ptCount val="1"/>
                <c:pt idx="0">
                  <c:v>% Part.</c:v>
                </c:pt>
              </c:strCache>
            </c:strRef>
          </c:tx>
          <c:spPr>
            <a:solidFill>
              <a:srgbClr val="ED7D31"/>
            </a:solidFill>
            <a:ln w="25400">
              <a:noFill/>
            </a:ln>
          </c:spPr>
          <c:invertIfNegative val="0"/>
          <c:cat>
            <c:strRef>
              <c:f>tips!$A$4:$A$11</c:f>
              <c:strCache>
                <c:ptCount val="8"/>
                <c:pt idx="1">
                  <c:v>El presupuesto distrital aprobado</c:v>
                </c:pt>
                <c:pt idx="2">
                  <c:v>Presupuesto Anual </c:v>
                </c:pt>
                <c:pt idx="3">
                  <c:v>Administración central</c:v>
                </c:pt>
                <c:pt idx="4">
                  <c:v>Establecimientos públicos </c:v>
                </c:pt>
                <c:pt idx="5">
                  <c:v>Contraloría y Universidad Distrital </c:v>
                </c:pt>
                <c:pt idx="6">
                  <c:v>Empresas Industriales y Comerciales –EICD</c:v>
                </c:pt>
                <c:pt idx="7">
                  <c:v>Empresas Sociales del Estado –ESE </c:v>
                </c:pt>
              </c:strCache>
            </c:strRef>
          </c:cat>
          <c:val>
            <c:numRef>
              <c:f>tips!$C$4:$C$11</c:f>
            </c:numRef>
          </c:val>
        </c:ser>
        <c:dLbls>
          <c:showLegendKey val="0"/>
          <c:showVal val="0"/>
          <c:showCatName val="0"/>
          <c:showSerName val="0"/>
          <c:showPercent val="0"/>
          <c:showBubbleSize val="0"/>
        </c:dLbls>
        <c:gapWidth val="214"/>
        <c:overlap val="-27"/>
        <c:axId val="-2086181136"/>
        <c:axId val="-2086183856"/>
      </c:barChart>
      <c:catAx>
        <c:axId val="-208618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96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O"/>
          </a:p>
        </c:txPr>
        <c:crossAx val="-2086183856"/>
        <c:crossesAt val="0"/>
        <c:auto val="1"/>
        <c:lblAlgn val="ctr"/>
        <c:lblOffset val="100"/>
        <c:noMultiLvlLbl val="0"/>
      </c:catAx>
      <c:valAx>
        <c:axId val="-2086183856"/>
        <c:scaling>
          <c:orientation val="minMax"/>
          <c:max val="20000000"/>
        </c:scaling>
        <c:delete val="0"/>
        <c:axPos val="r"/>
        <c:majorGridlines>
          <c:spPr>
            <a:ln w="15875" cap="flat" cmpd="sng" algn="ctr">
              <a:solidFill>
                <a:schemeClr val="tx1">
                  <a:lumMod val="15000"/>
                  <a:lumOff val="85000"/>
                </a:schemeClr>
              </a:solidFill>
              <a:round/>
            </a:ln>
            <a:effectLst/>
          </c:spPr>
        </c:majorGridlines>
        <c:numFmt formatCode="#,##0" sourceLinked="0"/>
        <c:majorTickMark val="none"/>
        <c:minorTickMark val="none"/>
        <c:tickLblPos val="nextTo"/>
        <c:txPr>
          <a:bodyPr rot="-60000000" vert="horz"/>
          <a:lstStyle/>
          <a:p>
            <a:pPr>
              <a:defRPr/>
            </a:pPr>
            <a:endParaRPr lang="es-CO"/>
          </a:p>
        </c:txPr>
        <c:crossAx val="-2086181136"/>
        <c:crosses val="max"/>
        <c:crossBetween val="between"/>
        <c:majorUnit val="2000000"/>
      </c:valAx>
      <c:spPr>
        <a:noFill/>
        <a:ln w="15875">
          <a:gradFill>
            <a:gsLst>
              <a:gs pos="0">
                <a:schemeClr val="accent1">
                  <a:lumMod val="5000"/>
                  <a:lumOff val="95000"/>
                </a:schemeClr>
              </a:gs>
              <a:gs pos="98000">
                <a:schemeClr val="accent1">
                  <a:lumMod val="45000"/>
                  <a:lumOff val="55000"/>
                </a:schemeClr>
              </a:gs>
              <a:gs pos="90000">
                <a:schemeClr val="accent1">
                  <a:lumMod val="45000"/>
                  <a:lumOff val="55000"/>
                </a:schemeClr>
              </a:gs>
              <a:gs pos="100000">
                <a:schemeClr val="accent1">
                  <a:lumMod val="30000"/>
                  <a:lumOff val="70000"/>
                </a:schemeClr>
              </a:gs>
            </a:gsLst>
            <a:lin ang="5400000" scaled="1"/>
          </a:gradFill>
        </a:ln>
        <a:effectLst>
          <a:outerShdw blurRad="50800" dir="5400000" sx="60000" sy="60000" algn="ctr" rotWithShape="0">
            <a:srgbClr val="000000">
              <a:alpha val="43137"/>
            </a:srgbClr>
          </a:outerShdw>
        </a:effectLst>
        <a:scene3d>
          <a:camera prst="orthographicFront"/>
          <a:lightRig rig="threePt" dir="t"/>
        </a:scene3d>
        <a:sp3d>
          <a:bevelT w="6350"/>
        </a:sp3d>
      </c:spPr>
    </c:plotArea>
    <c:legend>
      <c:legendPos val="b"/>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5" b="1" i="0" u="none" strike="noStrike" baseline="0">
                <a:solidFill>
                  <a:srgbClr val="000000"/>
                </a:solidFill>
                <a:latin typeface="Arial"/>
                <a:ea typeface="Arial"/>
                <a:cs typeface="Arial"/>
              </a:defRPr>
            </a:pPr>
            <a:r>
              <a:rPr lang="es-CO"/>
              <a:t>Ejecución presupuestal por niveles administrativos a 31-12-2014</a:t>
            </a:r>
          </a:p>
          <a:p>
            <a:pPr>
              <a:defRPr sz="1325" b="1" i="0" u="none" strike="noStrike" baseline="0">
                <a:solidFill>
                  <a:srgbClr val="000000"/>
                </a:solidFill>
                <a:latin typeface="Arial"/>
                <a:ea typeface="Arial"/>
                <a:cs typeface="Arial"/>
              </a:defRPr>
            </a:pPr>
            <a:endParaRPr lang="es-CO"/>
          </a:p>
        </c:rich>
      </c:tx>
      <c:layout>
        <c:manualLayout>
          <c:xMode val="edge"/>
          <c:yMode val="edge"/>
          <c:x val="0.19373797453400515"/>
          <c:y val="3.3078880407124679E-2"/>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0.22896303678739297"/>
          <c:y val="0.22137459589345751"/>
          <c:w val="0.5753430155170387"/>
          <c:h val="0.48600629673161361"/>
        </c:manualLayout>
      </c:layout>
      <c:bar3DChart>
        <c:barDir val="col"/>
        <c:grouping val="clustered"/>
        <c:varyColors val="0"/>
        <c:ser>
          <c:idx val="3"/>
          <c:order val="0"/>
          <c:tx>
            <c:strRef>
              <c:f>Hoja3!$B$6</c:f>
              <c:strCache>
                <c:ptCount val="1"/>
                <c:pt idx="0">
                  <c:v>Inicial</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Hoja3!$B$7:$B$43</c:f>
            </c:numRef>
          </c:val>
        </c:ser>
        <c:ser>
          <c:idx val="4"/>
          <c:order val="1"/>
          <c:tx>
            <c:strRef>
              <c:f>Hoja3!$C$6</c:f>
              <c:strCache>
                <c:ptCount val="1"/>
                <c:pt idx="0">
                  <c:v>Modificación</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Hoja3!$C$7:$C$43</c:f>
            </c:numRef>
          </c:val>
        </c:ser>
        <c:ser>
          <c:idx val="0"/>
          <c:order val="2"/>
          <c:tx>
            <c:strRef>
              <c:f>Hoja3!$D$6</c:f>
              <c:strCache>
                <c:ptCount val="1"/>
                <c:pt idx="0">
                  <c:v>Definitivo</c:v>
                </c:pt>
              </c:strCache>
            </c:strRef>
          </c:tx>
          <c:spPr>
            <a:solidFill>
              <a:srgbClr val="9999FF"/>
            </a:solidFill>
            <a:ln w="12700">
              <a:solidFill>
                <a:srgbClr val="000000"/>
              </a:solidFill>
              <a:prstDash val="solid"/>
            </a:ln>
          </c:spPr>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Hoja3!$D$7:$D$43</c:f>
              <c:numCache>
                <c:formatCode>_ * #,##0_ ;_ * \-#,##0_ ;_ * "-"??_ ;_ @_ </c:formatCode>
                <c:ptCount val="7"/>
                <c:pt idx="0">
                  <c:v>7591629338724</c:v>
                </c:pt>
                <c:pt idx="1">
                  <c:v>6018314280666</c:v>
                </c:pt>
                <c:pt idx="2">
                  <c:v>343358967298</c:v>
                </c:pt>
                <c:pt idx="3">
                  <c:v>13953302586688</c:v>
                </c:pt>
                <c:pt idx="4">
                  <c:v>4896496345958</c:v>
                </c:pt>
                <c:pt idx="5">
                  <c:v>1652442744026.3484</c:v>
                </c:pt>
                <c:pt idx="6">
                  <c:v>20502241676672.348</c:v>
                </c:pt>
              </c:numCache>
            </c:numRef>
          </c:val>
        </c:ser>
        <c:ser>
          <c:idx val="5"/>
          <c:order val="3"/>
          <c:tx>
            <c:strRef>
              <c:f>Hoja3!$E$6</c:f>
              <c:strCache>
                <c:ptCount val="1"/>
                <c:pt idx="0">
                  <c:v>% par.</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Hoja3!$E$7:$E$43</c:f>
            </c:numRef>
          </c:val>
        </c:ser>
        <c:ser>
          <c:idx val="6"/>
          <c:order val="4"/>
          <c:tx>
            <c:strRef>
              <c:f>Hoja3!$F$6</c:f>
              <c:strCache>
                <c:ptCount val="1"/>
                <c:pt idx="0">
                  <c:v>Suspención</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Hoja3!$F$7:$F$43</c:f>
            </c:numRef>
          </c:val>
        </c:ser>
        <c:ser>
          <c:idx val="7"/>
          <c:order val="5"/>
          <c:tx>
            <c:strRef>
              <c:f>Hoja3!$G$6</c:f>
              <c:strCache>
                <c:ptCount val="1"/>
                <c:pt idx="0">
                  <c:v>Disponible</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Hoja3!$G$7:$G$43</c:f>
            </c:numRef>
          </c:val>
        </c:ser>
        <c:ser>
          <c:idx val="1"/>
          <c:order val="6"/>
          <c:tx>
            <c:strRef>
              <c:f>Hoja3!$H$6</c:f>
              <c:strCache>
                <c:ptCount val="1"/>
                <c:pt idx="0">
                  <c:v>Giros</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Hoja3!$H$7:$H$43</c:f>
            </c:numRef>
          </c:val>
        </c:ser>
        <c:ser>
          <c:idx val="8"/>
          <c:order val="7"/>
          <c:tx>
            <c:strRef>
              <c:f>Hoja3!$I$6</c:f>
              <c:strCache>
                <c:ptCount val="1"/>
                <c:pt idx="0">
                  <c:v>% ejec.</c:v>
                </c:pt>
              </c:strCache>
            </c:strRef>
          </c:tx>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Hoja3!$I$7:$I$43</c:f>
            </c:numRef>
          </c:val>
        </c:ser>
        <c:ser>
          <c:idx val="2"/>
          <c:order val="8"/>
          <c:tx>
            <c:strRef>
              <c:f>Hoja3!$J$6</c:f>
              <c:strCache>
                <c:ptCount val="1"/>
                <c:pt idx="0">
                  <c:v>Total</c:v>
                </c:pt>
              </c:strCache>
            </c:strRef>
          </c:tx>
          <c:spPr>
            <a:solidFill>
              <a:srgbClr val="FFFFCC"/>
            </a:solidFill>
            <a:ln w="12700">
              <a:solidFill>
                <a:srgbClr val="000000"/>
              </a:solidFill>
              <a:prstDash val="solid"/>
            </a:ln>
          </c:spPr>
          <c:invertIfNegative val="0"/>
          <c:cat>
            <c:strRef>
              <c:f>Hoja3!$A$7:$A$43</c:f>
              <c:strCache>
                <c:ptCount val="7"/>
                <c:pt idx="0">
                  <c:v>Administración Central</c:v>
                </c:pt>
                <c:pt idx="1">
                  <c:v>Establecimiento Públicos</c:v>
                </c:pt>
                <c:pt idx="2">
                  <c:v>Entes Autónomos</c:v>
                </c:pt>
                <c:pt idx="3">
                  <c:v>Presupuesto Anual</c:v>
                </c:pt>
                <c:pt idx="4">
                  <c:v>Empresas Industriales y C.</c:v>
                </c:pt>
                <c:pt idx="5">
                  <c:v>Empresas Sociales del E.</c:v>
                </c:pt>
                <c:pt idx="6">
                  <c:v>Total gastos </c:v>
                </c:pt>
              </c:strCache>
            </c:strRef>
          </c:cat>
          <c:val>
            <c:numRef>
              <c:f>Hoja3!$J$7:$J$43</c:f>
              <c:numCache>
                <c:formatCode>_ * #,##0_ ;_ * \-#,##0_ ;_ * "-"??_ ;_ @_ </c:formatCode>
                <c:ptCount val="7"/>
                <c:pt idx="0">
                  <c:v>6740432293164.1602</c:v>
                </c:pt>
                <c:pt idx="1">
                  <c:v>4888113287098</c:v>
                </c:pt>
                <c:pt idx="2">
                  <c:v>312251343485</c:v>
                </c:pt>
                <c:pt idx="3">
                  <c:v>11940796923747.16</c:v>
                </c:pt>
                <c:pt idx="4">
                  <c:v>4414069549395</c:v>
                </c:pt>
                <c:pt idx="5">
                  <c:v>1506032403921.572</c:v>
                </c:pt>
                <c:pt idx="6">
                  <c:v>17860898877063.73</c:v>
                </c:pt>
              </c:numCache>
            </c:numRef>
          </c:val>
        </c:ser>
        <c:dLbls>
          <c:showLegendKey val="0"/>
          <c:showVal val="0"/>
          <c:showCatName val="0"/>
          <c:showSerName val="0"/>
          <c:showPercent val="0"/>
          <c:showBubbleSize val="0"/>
        </c:dLbls>
        <c:gapWidth val="150"/>
        <c:shape val="box"/>
        <c:axId val="-2086176784"/>
        <c:axId val="-2086190928"/>
        <c:axId val="0"/>
      </c:bar3DChart>
      <c:catAx>
        <c:axId val="-208617678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s-CO"/>
          </a:p>
        </c:txPr>
        <c:crossAx val="-2086190928"/>
        <c:crosses val="autoZero"/>
        <c:auto val="1"/>
        <c:lblAlgn val="ctr"/>
        <c:lblOffset val="100"/>
        <c:tickLblSkip val="1"/>
        <c:tickMarkSkip val="1"/>
        <c:noMultiLvlLbl val="0"/>
      </c:catAx>
      <c:valAx>
        <c:axId val="-20861909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CO"/>
                  <a:t>Millones de pesos</a:t>
                </a:r>
              </a:p>
            </c:rich>
          </c:tx>
          <c:layout>
            <c:manualLayout>
              <c:xMode val="edge"/>
              <c:yMode val="edge"/>
              <c:x val="2.7397260273972601E-2"/>
              <c:y val="0.32824507623569954"/>
            </c:manualLayout>
          </c:layout>
          <c:overlay val="0"/>
          <c:spPr>
            <a:noFill/>
            <a:ln w="25400">
              <a:noFill/>
            </a:ln>
          </c:spPr>
        </c:title>
        <c:numFmt formatCode="_ * #,##0_ ;_ * \-#,##0_ ;_ * &quot;-&quot;??_ ;_ @_ "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2086176784"/>
        <c:crosses val="autoZero"/>
        <c:crossBetween val="between"/>
        <c:dispUnits>
          <c:builtInUnit val="thousands"/>
        </c:dispUnits>
      </c:valAx>
      <c:spPr>
        <a:noFill/>
        <a:ln w="25400">
          <a:noFill/>
        </a:ln>
      </c:spPr>
    </c:plotArea>
    <c:legend>
      <c:legendPos val="r"/>
      <c:layout>
        <c:manualLayout>
          <c:xMode val="edge"/>
          <c:yMode val="edge"/>
          <c:x val="0.3091978571171754"/>
          <c:y val="0.25699798975509736"/>
          <c:w val="0.3600786887940377"/>
          <c:h val="7.6336145004775147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 r="0.75" t="1" header="0" footer="0"/>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409575</xdr:colOff>
      <xdr:row>3</xdr:row>
      <xdr:rowOff>95250</xdr:rowOff>
    </xdr:from>
    <xdr:to>
      <xdr:col>0</xdr:col>
      <xdr:colOff>990600</xdr:colOff>
      <xdr:row>3</xdr:row>
      <xdr:rowOff>600075</xdr:rowOff>
    </xdr:to>
    <xdr:sp macro="" textlink="">
      <xdr:nvSpPr>
        <xdr:cNvPr id="1054" name="Line 1"/>
        <xdr:cNvSpPr>
          <a:spLocks noChangeShapeType="1"/>
        </xdr:cNvSpPr>
      </xdr:nvSpPr>
      <xdr:spPr bwMode="auto">
        <a:xfrm>
          <a:off x="409575" y="466725"/>
          <a:ext cx="58102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0</xdr:row>
      <xdr:rowOff>161925</xdr:rowOff>
    </xdr:from>
    <xdr:to>
      <xdr:col>14</xdr:col>
      <xdr:colOff>771525</xdr:colOff>
      <xdr:row>11</xdr:row>
      <xdr:rowOff>161925</xdr:rowOff>
    </xdr:to>
    <xdr:graphicFrame macro="">
      <xdr:nvGraphicFramePr>
        <xdr:cNvPr id="6168"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28575</xdr:rowOff>
    </xdr:from>
    <xdr:to>
      <xdr:col>0</xdr:col>
      <xdr:colOff>2066925</xdr:colOff>
      <xdr:row>4</xdr:row>
      <xdr:rowOff>638175</xdr:rowOff>
    </xdr:to>
    <xdr:sp macro="" textlink="">
      <xdr:nvSpPr>
        <xdr:cNvPr id="3119" name="Line 1"/>
        <xdr:cNvSpPr>
          <a:spLocks noChangeShapeType="1"/>
        </xdr:cNvSpPr>
      </xdr:nvSpPr>
      <xdr:spPr bwMode="auto">
        <a:xfrm>
          <a:off x="9525" y="800100"/>
          <a:ext cx="205740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76</xdr:row>
      <xdr:rowOff>28575</xdr:rowOff>
    </xdr:from>
    <xdr:to>
      <xdr:col>0</xdr:col>
      <xdr:colOff>2066925</xdr:colOff>
      <xdr:row>76</xdr:row>
      <xdr:rowOff>638175</xdr:rowOff>
    </xdr:to>
    <xdr:sp macro="" textlink="">
      <xdr:nvSpPr>
        <xdr:cNvPr id="3120" name="Line 2"/>
        <xdr:cNvSpPr>
          <a:spLocks noChangeShapeType="1"/>
        </xdr:cNvSpPr>
      </xdr:nvSpPr>
      <xdr:spPr bwMode="auto">
        <a:xfrm>
          <a:off x="9525" y="14411325"/>
          <a:ext cx="205740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115</xdr:row>
      <xdr:rowOff>19050</xdr:rowOff>
    </xdr:from>
    <xdr:to>
      <xdr:col>3</xdr:col>
      <xdr:colOff>561975</xdr:colOff>
      <xdr:row>131</xdr:row>
      <xdr:rowOff>9525</xdr:rowOff>
    </xdr:to>
    <xdr:graphicFrame macro="">
      <xdr:nvGraphicFramePr>
        <xdr:cNvPr id="415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132</xdr:row>
      <xdr:rowOff>114300</xdr:rowOff>
    </xdr:from>
    <xdr:to>
      <xdr:col>3</xdr:col>
      <xdr:colOff>523875</xdr:colOff>
      <xdr:row>149</xdr:row>
      <xdr:rowOff>171450</xdr:rowOff>
    </xdr:to>
    <xdr:graphicFrame macro="">
      <xdr:nvGraphicFramePr>
        <xdr:cNvPr id="4158"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180975</xdr:colOff>
      <xdr:row>2</xdr:row>
      <xdr:rowOff>142875</xdr:rowOff>
    </xdr:from>
    <xdr:to>
      <xdr:col>13</xdr:col>
      <xdr:colOff>161925</xdr:colOff>
      <xdr:row>22</xdr:row>
      <xdr:rowOff>58209</xdr:rowOff>
    </xdr:to>
    <xdr:graphicFrame macro="">
      <xdr:nvGraphicFramePr>
        <xdr:cNvPr id="4159"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981075</xdr:colOff>
      <xdr:row>0</xdr:row>
      <xdr:rowOff>123825</xdr:rowOff>
    </xdr:from>
    <xdr:to>
      <xdr:col>19</xdr:col>
      <xdr:colOff>171450</xdr:colOff>
      <xdr:row>56</xdr:row>
      <xdr:rowOff>142875</xdr:rowOff>
    </xdr:to>
    <xdr:graphicFrame macro="">
      <xdr:nvGraphicFramePr>
        <xdr:cNvPr id="514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TO/2012/TRIMESTRES/09/centr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PTO/2012/TRIMESTRES/09/glob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gonzalez/Documents/PPTO/2014/Meses/12/centr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rgonzalez/Documents/PPTO/2014/Meses/12/estapub.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gonzalez/Documents/PPTO/2014/Meses/12/cualquieraimportant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rgonzalez/Documents/PPTO/2014/Meses/12/EI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rgonzalez/Documents/PPTO/2014/Meses/12/Hospital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rgonzalez/Documents/PPTO/2014/Meses/12/ingresos%20neto%20anu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rgonzalez/Documents/PPTO/2014/Meses/12/ingresos%20estapub.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PTO/2013/Estad&#237;sticas%20pptales/TRIMESTRES/12/eic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PTO/2010/OBLIGATORIOS/ESTADISTICAS/TRIMESTRES/4/resume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TO/2010/OBLIGATORIOS/ESTADISTICAS/TRIMESTRES/4/centr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rgonzalez.CONTRALORIA/Escritorio/Las%20carpetas/2013/30-09-2013/cifras%20global%2009-2013/totales%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PTO/2012/TRIMESTRES/09/estapublic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PTO/2010/OBLIGATORIOS/ESTADISTICAS/TRIMESTRES/4/en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PTO/2012/TRIMESTRES/09/en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PTO/2012/TRIMESTRES/09/e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PTO/2010/OBLIGATORIOS/ESTADISTICAS/TRIMESTRES/4/empresa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PTO/2010/OBLIGATORIOS/ESTADISTICAS/TRIMESTRES/4/eses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TO/2012/TRIMESTRES/09/eses%20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n"/>
      <sheetName val="pton"/>
      <sheetName val="neto"/>
      <sheetName val="ing"/>
      <sheetName val="con"/>
      <sheetName val="per"/>
      <sheetName val="alc"/>
      <sheetName val="vee"/>
      <sheetName val="gob"/>
      <sheetName val="hda"/>
      <sheetName val="cor"/>
      <sheetName val="pto"/>
      <sheetName val="cre"/>
      <sheetName val="cfc"/>
      <sheetName val="edu"/>
      <sheetName val="sal"/>
      <sheetName val="adt"/>
      <sheetName val="stt"/>
      <sheetName val="pla"/>
      <sheetName val="dllo"/>
      <sheetName val="hab"/>
      <sheetName val="cul"/>
      <sheetName val="int"/>
      <sheetName val="dasc"/>
      <sheetName val="amb"/>
      <sheetName val="dad"/>
      <sheetName val="bom"/>
      <sheetName val="conso"/>
      <sheetName val="resu"/>
      <sheetName val="Hoja1"/>
    </sheetNames>
    <sheetDataSet>
      <sheetData sheetId="0"/>
      <sheetData sheetId="1"/>
      <sheetData sheetId="2"/>
      <sheetData sheetId="3"/>
      <sheetData sheetId="4">
        <row r="432">
          <cell r="D432">
            <v>0</v>
          </cell>
        </row>
        <row r="434">
          <cell r="F434">
            <v>0</v>
          </cell>
          <cell r="J434">
            <v>0</v>
          </cell>
          <cell r="N434">
            <v>0</v>
          </cell>
        </row>
        <row r="885">
          <cell r="F885">
            <v>0</v>
          </cell>
          <cell r="J885">
            <v>0</v>
          </cell>
          <cell r="N885">
            <v>0</v>
          </cell>
        </row>
        <row r="1787">
          <cell r="F1787">
            <v>0</v>
          </cell>
        </row>
        <row r="1801">
          <cell r="F1801">
            <v>0</v>
          </cell>
          <cell r="J1801">
            <v>0</v>
          </cell>
          <cell r="N1801">
            <v>0</v>
          </cell>
        </row>
      </sheetData>
      <sheetData sheetId="5">
        <row r="432">
          <cell r="D432">
            <v>2693831</v>
          </cell>
        </row>
        <row r="434">
          <cell r="F434">
            <v>0</v>
          </cell>
          <cell r="J434">
            <v>0</v>
          </cell>
          <cell r="N434">
            <v>0</v>
          </cell>
        </row>
        <row r="885">
          <cell r="F885">
            <v>1200000</v>
          </cell>
          <cell r="J885">
            <v>7000</v>
          </cell>
          <cell r="N885">
            <v>399103.18200000003</v>
          </cell>
        </row>
        <row r="1787">
          <cell r="F1787">
            <v>24331</v>
          </cell>
          <cell r="J1787">
            <v>12165.5</v>
          </cell>
          <cell r="N1787">
            <v>12165.5</v>
          </cell>
        </row>
        <row r="1801">
          <cell r="F1801">
            <v>1095685.3759999999</v>
          </cell>
          <cell r="J1801">
            <v>976586.34699999995</v>
          </cell>
          <cell r="N1801">
            <v>1055217.3149999999</v>
          </cell>
        </row>
      </sheetData>
      <sheetData sheetId="6">
        <row r="432">
          <cell r="D432">
            <v>47230242</v>
          </cell>
        </row>
        <row r="434">
          <cell r="F434">
            <v>10263186.296</v>
          </cell>
          <cell r="J434">
            <v>6749092.8569999989</v>
          </cell>
          <cell r="N434">
            <v>9969789.1970000006</v>
          </cell>
        </row>
        <row r="885">
          <cell r="F885">
            <v>26659722.479999997</v>
          </cell>
          <cell r="J885">
            <v>1938339.3310000002</v>
          </cell>
          <cell r="N885">
            <v>6440013.9699999988</v>
          </cell>
        </row>
        <row r="1787">
          <cell r="F1787">
            <v>121776.374</v>
          </cell>
          <cell r="J1787">
            <v>116626.374</v>
          </cell>
          <cell r="N1787">
            <v>116626.374</v>
          </cell>
        </row>
        <row r="1801">
          <cell r="F1801">
            <v>5833816.4759999998</v>
          </cell>
          <cell r="J1801">
            <v>3879932.8859999999</v>
          </cell>
          <cell r="N1801">
            <v>5616307.5090000005</v>
          </cell>
        </row>
      </sheetData>
      <sheetData sheetId="7">
        <row r="432">
          <cell r="D432">
            <v>500000</v>
          </cell>
        </row>
        <row r="434">
          <cell r="F434">
            <v>20300</v>
          </cell>
          <cell r="J434">
            <v>11713.46</v>
          </cell>
          <cell r="N434">
            <v>20300</v>
          </cell>
        </row>
        <row r="885">
          <cell r="F885">
            <v>479700</v>
          </cell>
          <cell r="J885">
            <v>0</v>
          </cell>
          <cell r="N885">
            <v>2976.4009999999998</v>
          </cell>
        </row>
        <row r="1787">
          <cell r="F1787">
            <v>0</v>
          </cell>
        </row>
        <row r="1801">
          <cell r="F1801">
            <v>0</v>
          </cell>
          <cell r="J1801">
            <v>0</v>
          </cell>
          <cell r="N1801">
            <v>0</v>
          </cell>
        </row>
      </sheetData>
      <sheetData sheetId="8">
        <row r="432">
          <cell r="D432">
            <v>78669055</v>
          </cell>
        </row>
        <row r="434">
          <cell r="F434">
            <v>28004099.994000003</v>
          </cell>
          <cell r="J434">
            <v>16246497.408</v>
          </cell>
          <cell r="N434">
            <v>27927301.994000003</v>
          </cell>
        </row>
        <row r="885">
          <cell r="F885">
            <v>26776927.097999997</v>
          </cell>
          <cell r="J885">
            <v>272892.24800000002</v>
          </cell>
          <cell r="N885">
            <v>4339228.62</v>
          </cell>
        </row>
        <row r="1787">
          <cell r="F1787">
            <v>4142102</v>
          </cell>
          <cell r="J1787">
            <v>1672765.6370000001</v>
          </cell>
          <cell r="N1787">
            <v>1672765.6370000001</v>
          </cell>
        </row>
        <row r="1801">
          <cell r="F1801">
            <v>19745925.907999996</v>
          </cell>
          <cell r="J1801">
            <v>13459571.705999998</v>
          </cell>
          <cell r="N1801">
            <v>19664897.256999999</v>
          </cell>
        </row>
      </sheetData>
      <sheetData sheetId="9"/>
      <sheetData sheetId="10">
        <row r="432">
          <cell r="D432">
            <v>52387781</v>
          </cell>
        </row>
        <row r="434">
          <cell r="F434">
            <v>9575452.2080000043</v>
          </cell>
          <cell r="J434">
            <v>5623038.5650000004</v>
          </cell>
          <cell r="N434">
            <v>9565583.5639999993</v>
          </cell>
        </row>
        <row r="885">
          <cell r="F885">
            <v>28243948.796</v>
          </cell>
          <cell r="J885">
            <v>2924743.9870000002</v>
          </cell>
          <cell r="N885">
            <v>4433543.5690000001</v>
          </cell>
        </row>
        <row r="1787">
          <cell r="F1787">
            <v>30640.995999999999</v>
          </cell>
          <cell r="J1787">
            <v>30640.995999999999</v>
          </cell>
          <cell r="N1787">
            <v>30640.995999999999</v>
          </cell>
        </row>
        <row r="1801">
          <cell r="F1801">
            <v>8887739</v>
          </cell>
          <cell r="J1801">
            <v>6716930.9059999995</v>
          </cell>
          <cell r="N1801">
            <v>8866382.5120000001</v>
          </cell>
        </row>
      </sheetData>
      <sheetData sheetId="11">
        <row r="432">
          <cell r="D432">
            <v>3707867143</v>
          </cell>
        </row>
        <row r="434">
          <cell r="F434">
            <v>0</v>
          </cell>
          <cell r="J434">
            <v>0</v>
          </cell>
          <cell r="N434">
            <v>0</v>
          </cell>
        </row>
        <row r="885">
          <cell r="F885">
            <v>0</v>
          </cell>
          <cell r="J885">
            <v>0</v>
          </cell>
          <cell r="N885">
            <v>0</v>
          </cell>
        </row>
        <row r="1628">
          <cell r="F1628">
            <v>3707867143</v>
          </cell>
          <cell r="J1628">
            <v>382385357.241</v>
          </cell>
          <cell r="N1628">
            <v>382385357.241</v>
          </cell>
        </row>
        <row r="1787">
          <cell r="F1787">
            <v>0</v>
          </cell>
        </row>
        <row r="1801">
          <cell r="F1801">
            <v>0</v>
          </cell>
          <cell r="J1801">
            <v>0</v>
          </cell>
          <cell r="N1801">
            <v>0</v>
          </cell>
        </row>
      </sheetData>
      <sheetData sheetId="12">
        <row r="432">
          <cell r="D432">
            <v>0</v>
          </cell>
        </row>
        <row r="434">
          <cell r="F434">
            <v>0</v>
          </cell>
          <cell r="J434">
            <v>0</v>
          </cell>
          <cell r="N434">
            <v>0</v>
          </cell>
        </row>
        <row r="885">
          <cell r="F885">
            <v>0</v>
          </cell>
          <cell r="J885">
            <v>0</v>
          </cell>
          <cell r="N885">
            <v>0</v>
          </cell>
        </row>
        <row r="1787">
          <cell r="F1787">
            <v>0</v>
          </cell>
        </row>
        <row r="1801">
          <cell r="F1801">
            <v>0</v>
          </cell>
          <cell r="J1801">
            <v>0</v>
          </cell>
          <cell r="N1801">
            <v>0</v>
          </cell>
        </row>
      </sheetData>
      <sheetData sheetId="13">
        <row r="432">
          <cell r="D432">
            <v>4087473</v>
          </cell>
        </row>
        <row r="434">
          <cell r="F434">
            <v>0</v>
          </cell>
          <cell r="J434">
            <v>0</v>
          </cell>
          <cell r="N434">
            <v>0</v>
          </cell>
        </row>
        <row r="885">
          <cell r="F885">
            <v>8995000</v>
          </cell>
          <cell r="J885">
            <v>0</v>
          </cell>
          <cell r="N885">
            <v>0</v>
          </cell>
        </row>
        <row r="1787">
          <cell r="F1787">
            <v>28410</v>
          </cell>
        </row>
        <row r="1801">
          <cell r="F1801">
            <v>501078.97700000001</v>
          </cell>
          <cell r="J1801">
            <v>161300.26</v>
          </cell>
          <cell r="N1801">
            <v>501078.97700000001</v>
          </cell>
        </row>
      </sheetData>
      <sheetData sheetId="14">
        <row r="432">
          <cell r="D432">
            <v>2479172929</v>
          </cell>
        </row>
        <row r="434">
          <cell r="F434">
            <v>1046810457.2339997</v>
          </cell>
          <cell r="J434">
            <v>920698186.42999947</v>
          </cell>
          <cell r="N434">
            <v>1045683382.4519997</v>
          </cell>
        </row>
        <row r="885">
          <cell r="F885">
            <v>1255784265.766</v>
          </cell>
          <cell r="J885">
            <v>328767182.82300001</v>
          </cell>
          <cell r="N885">
            <v>485912153.56700003</v>
          </cell>
        </row>
        <row r="1787">
          <cell r="F1787">
            <v>20570420</v>
          </cell>
          <cell r="J1787">
            <v>1368861.8670000001</v>
          </cell>
          <cell r="N1787">
            <v>1532602.7290000001</v>
          </cell>
        </row>
        <row r="1801">
          <cell r="F1801">
            <v>130431305.62200001</v>
          </cell>
          <cell r="J1801">
            <v>98474014.658000007</v>
          </cell>
          <cell r="N1801">
            <v>130273543.90699999</v>
          </cell>
        </row>
      </sheetData>
      <sheetData sheetId="15">
        <row r="432">
          <cell r="D432">
            <v>0</v>
          </cell>
        </row>
        <row r="434">
          <cell r="F434">
            <v>0</v>
          </cell>
          <cell r="J434">
            <v>0</v>
          </cell>
          <cell r="N434">
            <v>0</v>
          </cell>
        </row>
        <row r="885">
          <cell r="F885">
            <v>0</v>
          </cell>
          <cell r="J885">
            <v>0</v>
          </cell>
          <cell r="N885">
            <v>0</v>
          </cell>
        </row>
        <row r="1787">
          <cell r="F1787">
            <v>0</v>
          </cell>
        </row>
        <row r="1801">
          <cell r="F1801">
            <v>0</v>
          </cell>
          <cell r="J1801">
            <v>0</v>
          </cell>
          <cell r="N1801">
            <v>0</v>
          </cell>
        </row>
      </sheetData>
      <sheetData sheetId="16">
        <row r="432">
          <cell r="D432">
            <v>84326303</v>
          </cell>
        </row>
        <row r="434">
          <cell r="F434">
            <v>15592805.266999997</v>
          </cell>
          <cell r="J434">
            <v>9680184.4830000009</v>
          </cell>
          <cell r="N434">
            <v>15581697.947000001</v>
          </cell>
        </row>
        <row r="885">
          <cell r="F885">
            <v>39730018.682999998</v>
          </cell>
          <cell r="J885">
            <v>262585.92499999999</v>
          </cell>
          <cell r="N885">
            <v>4950647.682</v>
          </cell>
        </row>
        <row r="1787">
          <cell r="F1787">
            <v>2504148</v>
          </cell>
          <cell r="J1787">
            <v>1195008.057</v>
          </cell>
          <cell r="N1787">
            <v>1195026.057</v>
          </cell>
        </row>
        <row r="1801">
          <cell r="F1801">
            <v>9915177.0529999994</v>
          </cell>
          <cell r="J1801">
            <v>7420001.841</v>
          </cell>
          <cell r="N1801">
            <v>9868585.0520000011</v>
          </cell>
        </row>
      </sheetData>
      <sheetData sheetId="17">
        <row r="432">
          <cell r="D432">
            <v>220246328</v>
          </cell>
        </row>
        <row r="434">
          <cell r="F434">
            <v>43183186.523999989</v>
          </cell>
          <cell r="J434">
            <v>27665957.515000001</v>
          </cell>
          <cell r="N434">
            <v>43070777.637999997</v>
          </cell>
        </row>
        <row r="885">
          <cell r="F885">
            <v>108066161.52599999</v>
          </cell>
          <cell r="J885">
            <v>2676270.4210000001</v>
          </cell>
          <cell r="N885">
            <v>24112785.421</v>
          </cell>
        </row>
        <row r="1787">
          <cell r="F1787">
            <v>35500000</v>
          </cell>
          <cell r="J1787">
            <v>283003.12</v>
          </cell>
          <cell r="N1787">
            <v>283003.12</v>
          </cell>
        </row>
        <row r="1801">
          <cell r="F1801">
            <v>33930303.783</v>
          </cell>
          <cell r="J1801">
            <v>22151363.420000006</v>
          </cell>
          <cell r="N1801">
            <v>33755524.156000003</v>
          </cell>
        </row>
      </sheetData>
      <sheetData sheetId="18">
        <row r="432">
          <cell r="D432">
            <v>27701000</v>
          </cell>
        </row>
        <row r="434">
          <cell r="F434">
            <v>10276680.328</v>
          </cell>
          <cell r="J434">
            <v>8480956.7410000004</v>
          </cell>
          <cell r="N434">
            <v>10273433.781000001</v>
          </cell>
        </row>
        <row r="885">
          <cell r="F885">
            <v>12723319.672</v>
          </cell>
          <cell r="J885">
            <v>1043603.3729999999</v>
          </cell>
          <cell r="N885">
            <v>4111211.557</v>
          </cell>
        </row>
        <row r="1787">
          <cell r="F1787">
            <v>0</v>
          </cell>
        </row>
        <row r="1801">
          <cell r="F1801">
            <v>3494841.7239999999</v>
          </cell>
          <cell r="J1801">
            <v>2657353.4890000001</v>
          </cell>
          <cell r="N1801">
            <v>3358840.3059</v>
          </cell>
        </row>
      </sheetData>
      <sheetData sheetId="19">
        <row r="432">
          <cell r="D432">
            <v>93172057.993000001</v>
          </cell>
        </row>
        <row r="434">
          <cell r="F434">
            <v>10639935.088</v>
          </cell>
          <cell r="J434">
            <v>7277851.9170000004</v>
          </cell>
          <cell r="N434">
            <v>10595935.088</v>
          </cell>
        </row>
        <row r="885">
          <cell r="F885">
            <v>41169904.912</v>
          </cell>
          <cell r="J885">
            <v>6210.3019999999997</v>
          </cell>
          <cell r="N885">
            <v>4302749.4569999995</v>
          </cell>
        </row>
        <row r="1628">
          <cell r="F1628">
            <v>30000000</v>
          </cell>
          <cell r="J1628">
            <v>0</v>
          </cell>
          <cell r="N1628">
            <v>0</v>
          </cell>
        </row>
        <row r="1787">
          <cell r="F1787">
            <v>189600</v>
          </cell>
          <cell r="J1787">
            <v>145300</v>
          </cell>
          <cell r="N1787">
            <v>145300</v>
          </cell>
        </row>
        <row r="1801">
          <cell r="F1801">
            <v>8201261.6680000005</v>
          </cell>
          <cell r="J1801">
            <v>6699204.1159999995</v>
          </cell>
          <cell r="N1801">
            <v>8165159.9639999997</v>
          </cell>
        </row>
      </sheetData>
      <sheetData sheetId="20">
        <row r="432">
          <cell r="D432">
            <v>124745000</v>
          </cell>
        </row>
        <row r="434">
          <cell r="F434">
            <v>7146828.6770000011</v>
          </cell>
          <cell r="J434">
            <v>6186521.6090000002</v>
          </cell>
          <cell r="N434">
            <v>7145251.688000001</v>
          </cell>
        </row>
        <row r="885">
          <cell r="F885">
            <v>60309957.523000009</v>
          </cell>
          <cell r="J885">
            <v>1860054.7560000003</v>
          </cell>
          <cell r="N885">
            <v>4324535.3959999997</v>
          </cell>
        </row>
        <row r="1787">
          <cell r="F1787">
            <v>18700000</v>
          </cell>
          <cell r="J1787">
            <v>15345624.546</v>
          </cell>
          <cell r="N1787">
            <v>15346987.236</v>
          </cell>
        </row>
        <row r="1801">
          <cell r="F1801">
            <v>36664332.151999995</v>
          </cell>
          <cell r="J1801">
            <v>9745260.0810000002</v>
          </cell>
          <cell r="N1801">
            <v>36653146.964999989</v>
          </cell>
        </row>
      </sheetData>
      <sheetData sheetId="21">
        <row r="432">
          <cell r="D432">
            <v>26223562</v>
          </cell>
        </row>
        <row r="434">
          <cell r="F434">
            <v>9884613.410000002</v>
          </cell>
          <cell r="J434">
            <v>5113687.5419999994</v>
          </cell>
          <cell r="N434">
            <v>9881854.1450000014</v>
          </cell>
        </row>
        <row r="885">
          <cell r="F885">
            <v>13012386.59</v>
          </cell>
          <cell r="J885">
            <v>1705564.098</v>
          </cell>
          <cell r="N885">
            <v>6815607.0049999999</v>
          </cell>
        </row>
        <row r="1787">
          <cell r="F1787">
            <v>35000</v>
          </cell>
        </row>
        <row r="1801">
          <cell r="F1801">
            <v>1076240.7519999999</v>
          </cell>
          <cell r="J1801">
            <v>1006084.9219999999</v>
          </cell>
          <cell r="N1801">
            <v>1045051.6980000001</v>
          </cell>
        </row>
      </sheetData>
      <sheetData sheetId="22">
        <row r="432">
          <cell r="D432">
            <v>608857479</v>
          </cell>
        </row>
        <row r="434">
          <cell r="F434">
            <v>364053973.82099998</v>
          </cell>
          <cell r="J434">
            <v>245561602.92199999</v>
          </cell>
          <cell r="N434">
            <v>363905589.76359999</v>
          </cell>
        </row>
        <row r="885">
          <cell r="F885">
            <v>170380461.79599997</v>
          </cell>
          <cell r="J885">
            <v>23344932.154999997</v>
          </cell>
          <cell r="N885">
            <v>74946254.214000002</v>
          </cell>
        </row>
        <row r="1787">
          <cell r="F1787">
            <v>2241398</v>
          </cell>
          <cell r="J1787">
            <v>740186.78</v>
          </cell>
          <cell r="N1787">
            <v>740186.78</v>
          </cell>
        </row>
        <row r="1801">
          <cell r="F1801">
            <v>72181645.383000001</v>
          </cell>
          <cell r="J1801">
            <v>60810166.853</v>
          </cell>
          <cell r="N1801">
            <v>71819617.914999992</v>
          </cell>
        </row>
      </sheetData>
      <sheetData sheetId="23">
        <row r="432">
          <cell r="D432">
            <v>3290000</v>
          </cell>
        </row>
        <row r="434">
          <cell r="F434">
            <v>175560.39999999991</v>
          </cell>
          <cell r="J434">
            <v>143992.93300000002</v>
          </cell>
          <cell r="N434">
            <v>175560.4</v>
          </cell>
        </row>
        <row r="885">
          <cell r="F885">
            <v>1868157.074</v>
          </cell>
          <cell r="J885">
            <v>6072.1930000000002</v>
          </cell>
          <cell r="N885">
            <v>550165.79299999995</v>
          </cell>
        </row>
        <row r="1787">
          <cell r="F1787">
            <v>0</v>
          </cell>
        </row>
        <row r="1801">
          <cell r="F1801">
            <v>1246282.459</v>
          </cell>
          <cell r="J1801">
            <v>626173.52</v>
          </cell>
          <cell r="N1801">
            <v>1240378.1259999999</v>
          </cell>
        </row>
      </sheetData>
      <sheetData sheetId="24">
        <row r="432">
          <cell r="D432">
            <v>53852377</v>
          </cell>
        </row>
        <row r="434">
          <cell r="F434">
            <v>18701049.658</v>
          </cell>
          <cell r="J434">
            <v>11816992.604</v>
          </cell>
          <cell r="N434">
            <v>18683655.925000001</v>
          </cell>
        </row>
        <row r="885">
          <cell r="F885">
            <v>26434798.015999999</v>
          </cell>
          <cell r="J885">
            <v>108718.45300000001</v>
          </cell>
          <cell r="N885">
            <v>7409030.1149999984</v>
          </cell>
        </row>
        <row r="1787">
          <cell r="F1787">
            <v>1025254</v>
          </cell>
          <cell r="J1787">
            <v>197880.73499999999</v>
          </cell>
          <cell r="N1787">
            <v>202078.76800000001</v>
          </cell>
        </row>
        <row r="1801">
          <cell r="F1801">
            <v>7075847.989000001</v>
          </cell>
          <cell r="J1801">
            <v>3840464.9000000004</v>
          </cell>
          <cell r="N1801">
            <v>6585288.898</v>
          </cell>
        </row>
      </sheetData>
      <sheetData sheetId="25">
        <row r="432">
          <cell r="D432">
            <v>9530565</v>
          </cell>
        </row>
        <row r="434">
          <cell r="F434">
            <v>2893730.2180000003</v>
          </cell>
          <cell r="J434">
            <v>2575813.6710000001</v>
          </cell>
          <cell r="N434">
            <v>2887263.8449999997</v>
          </cell>
        </row>
        <row r="885">
          <cell r="F885">
            <v>4655269.7819999997</v>
          </cell>
          <cell r="J885">
            <v>207366.57500000001</v>
          </cell>
          <cell r="N885">
            <v>1907240.3220000002</v>
          </cell>
        </row>
        <row r="1787">
          <cell r="F1787">
            <v>312400</v>
          </cell>
          <cell r="J1787">
            <v>25443.852999999999</v>
          </cell>
          <cell r="N1787">
            <v>25443.852999999999</v>
          </cell>
        </row>
        <row r="1801">
          <cell r="F1801">
            <v>1379362.416</v>
          </cell>
          <cell r="J1801">
            <v>1174001.4839999999</v>
          </cell>
          <cell r="N1801">
            <v>1379362.416</v>
          </cell>
        </row>
      </sheetData>
      <sheetData sheetId="26">
        <row r="432">
          <cell r="D432">
            <v>41968151</v>
          </cell>
        </row>
        <row r="434">
          <cell r="F434">
            <v>9298274.1750000007</v>
          </cell>
          <cell r="J434">
            <v>7525453.3700000001</v>
          </cell>
          <cell r="N434">
            <v>8698624.6119999997</v>
          </cell>
        </row>
        <row r="885">
          <cell r="F885">
            <v>23650562.074999999</v>
          </cell>
          <cell r="J885">
            <v>272947.49800000002</v>
          </cell>
          <cell r="N885">
            <v>3624318.6100000003</v>
          </cell>
        </row>
        <row r="1787">
          <cell r="F1787">
            <v>22099</v>
          </cell>
          <cell r="J1787">
            <v>11356.476000000001</v>
          </cell>
          <cell r="N1787">
            <v>11356.476000000001</v>
          </cell>
        </row>
        <row r="1801">
          <cell r="F1801">
            <v>8997215.75</v>
          </cell>
          <cell r="J1801">
            <v>5866780.5060000001</v>
          </cell>
          <cell r="N1801">
            <v>8885212.9309999999</v>
          </cell>
        </row>
      </sheetData>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 ctas"/>
      <sheetName val="gastos ctas"/>
      <sheetName val="ing ent"/>
      <sheetName val="gastos ent"/>
      <sheetName val="directa"/>
    </sheetNames>
    <sheetDataSet>
      <sheetData sheetId="0"/>
      <sheetData sheetId="1">
        <row r="432">
          <cell r="D432">
            <v>11581960489.966999</v>
          </cell>
          <cell r="F432">
            <v>12164515251.615997</v>
          </cell>
          <cell r="J432">
            <v>4114709018.2793007</v>
          </cell>
          <cell r="L432">
            <v>2742175839.926199</v>
          </cell>
          <cell r="N432">
            <v>6856884858.2054996</v>
          </cell>
        </row>
        <row r="433">
          <cell r="F433">
            <v>8652126775.2689991</v>
          </cell>
          <cell r="J433">
            <v>2754775430.9882998</v>
          </cell>
          <cell r="L433">
            <v>1795572615.9583001</v>
          </cell>
          <cell r="N433">
            <v>4550348046.9466</v>
          </cell>
        </row>
        <row r="434">
          <cell r="F434">
            <v>3390507545.2439995</v>
          </cell>
          <cell r="J434">
            <v>2169126528.5853</v>
          </cell>
          <cell r="L434">
            <v>1217522171.2072997</v>
          </cell>
          <cell r="N434">
            <v>3386648699.7925997</v>
          </cell>
        </row>
        <row r="885">
          <cell r="F885">
            <v>5261619230.0249996</v>
          </cell>
          <cell r="J885">
            <v>585648902.40299988</v>
          </cell>
          <cell r="L885">
            <v>578050444.7510004</v>
          </cell>
          <cell r="N885">
            <v>1163699347.1540003</v>
          </cell>
        </row>
        <row r="1628">
          <cell r="F1628">
            <v>1301822782.721</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sheetName val="per"/>
      <sheetName val="alc"/>
      <sheetName val="vee"/>
      <sheetName val="gob"/>
      <sheetName val="hcor"/>
      <sheetName val="hpto"/>
      <sheetName val="hcre"/>
      <sheetName val="hcta"/>
      <sheetName val="edu"/>
      <sheetName val="mov"/>
      <sheetName val="mott"/>
      <sheetName val="sal"/>
      <sheetName val="dllo"/>
      <sheetName val="hab"/>
      <sheetName val="cul"/>
      <sheetName val="pla"/>
      <sheetName val="muj"/>
      <sheetName val="int"/>
      <sheetName val="das"/>
      <sheetName val="amb"/>
      <sheetName val="dad"/>
      <sheetName val="bom"/>
      <sheetName val="tab"/>
      <sheetName val="ent"/>
      <sheetName val="ctas"/>
      <sheetName val="todas"/>
      <sheetName val="ing"/>
    </sheetNames>
    <sheetDataSet>
      <sheetData sheetId="0"/>
      <sheetData sheetId="1">
        <row r="77">
          <cell r="D77">
            <v>8973875000</v>
          </cell>
        </row>
        <row r="78">
          <cell r="F78">
            <v>8973875000</v>
          </cell>
          <cell r="J78">
            <v>8970104248</v>
          </cell>
          <cell r="M78">
            <v>7822439021</v>
          </cell>
        </row>
      </sheetData>
      <sheetData sheetId="2">
        <row r="83">
          <cell r="D83">
            <v>121671297000</v>
          </cell>
        </row>
        <row r="84">
          <cell r="F84">
            <v>21438025696</v>
          </cell>
          <cell r="J84">
            <v>18526755876</v>
          </cell>
          <cell r="M84">
            <v>14493512313</v>
          </cell>
        </row>
        <row r="89">
          <cell r="F89">
            <v>100161305787</v>
          </cell>
          <cell r="J89">
            <v>96698074345</v>
          </cell>
          <cell r="M89">
            <v>67520717045</v>
          </cell>
        </row>
      </sheetData>
      <sheetData sheetId="3">
        <row r="71">
          <cell r="D71">
            <v>1187719000</v>
          </cell>
        </row>
        <row r="72">
          <cell r="F72">
            <v>1187719000</v>
          </cell>
          <cell r="J72">
            <v>1183779821</v>
          </cell>
          <cell r="M72">
            <v>1034704651</v>
          </cell>
        </row>
      </sheetData>
      <sheetData sheetId="4">
        <row r="80">
          <cell r="D80">
            <v>58073536000</v>
          </cell>
        </row>
        <row r="81">
          <cell r="F81">
            <v>16049538697</v>
          </cell>
          <cell r="J81">
            <v>14472930743</v>
          </cell>
          <cell r="M81">
            <v>5206510079</v>
          </cell>
        </row>
        <row r="99">
          <cell r="F99">
            <v>41294848457</v>
          </cell>
          <cell r="J99">
            <v>40367145646</v>
          </cell>
          <cell r="M99">
            <v>34715209667</v>
          </cell>
        </row>
      </sheetData>
      <sheetData sheetId="5">
        <row r="87">
          <cell r="D87">
            <v>32542233000</v>
          </cell>
        </row>
        <row r="88">
          <cell r="F88">
            <v>32531212550</v>
          </cell>
          <cell r="J88">
            <v>27883170031</v>
          </cell>
          <cell r="M88">
            <v>13572460177</v>
          </cell>
        </row>
      </sheetData>
      <sheetData sheetId="6"/>
      <sheetData sheetId="7"/>
      <sheetData sheetId="8">
        <row r="48">
          <cell r="D48">
            <v>7540000000</v>
          </cell>
        </row>
        <row r="49">
          <cell r="F49">
            <v>7540000000</v>
          </cell>
          <cell r="J49">
            <v>5978631670</v>
          </cell>
          <cell r="M49">
            <v>3302236426</v>
          </cell>
        </row>
      </sheetData>
      <sheetData sheetId="9">
        <row r="75">
          <cell r="D75">
            <v>2831124526000</v>
          </cell>
        </row>
        <row r="76">
          <cell r="F76">
            <v>2825239780976</v>
          </cell>
          <cell r="J76">
            <v>2498147276071</v>
          </cell>
          <cell r="M76">
            <v>2225272472022</v>
          </cell>
        </row>
        <row r="113">
          <cell r="F113">
            <v>437799333</v>
          </cell>
          <cell r="J113">
            <v>437799333</v>
          </cell>
          <cell r="M113">
            <v>175574047</v>
          </cell>
        </row>
      </sheetData>
      <sheetData sheetId="10">
        <row r="75">
          <cell r="D75">
            <v>62812899000</v>
          </cell>
        </row>
        <row r="76">
          <cell r="F76">
            <v>37342062000</v>
          </cell>
          <cell r="J76">
            <v>28195690431</v>
          </cell>
          <cell r="M76">
            <v>12358295441.959999</v>
          </cell>
        </row>
        <row r="90">
          <cell r="F90">
            <v>23970837000</v>
          </cell>
          <cell r="J90">
            <v>18026710486</v>
          </cell>
          <cell r="M90">
            <v>11532642513</v>
          </cell>
        </row>
      </sheetData>
      <sheetData sheetId="11">
        <row r="10">
          <cell r="D10">
            <v>111743232000</v>
          </cell>
          <cell r="F10">
            <v>113243232000</v>
          </cell>
          <cell r="J10">
            <v>101539567357</v>
          </cell>
          <cell r="M10">
            <v>52234818823</v>
          </cell>
        </row>
      </sheetData>
      <sheetData sheetId="12"/>
      <sheetData sheetId="13">
        <row r="69">
          <cell r="D69">
            <v>43320000000</v>
          </cell>
        </row>
        <row r="70">
          <cell r="F70">
            <v>35625642879</v>
          </cell>
          <cell r="J70">
            <v>35625615604</v>
          </cell>
          <cell r="M70">
            <v>28976228414</v>
          </cell>
        </row>
        <row r="94">
          <cell r="F94">
            <v>7694357121</v>
          </cell>
          <cell r="J94">
            <v>7694357121</v>
          </cell>
          <cell r="M94">
            <v>6365756058</v>
          </cell>
        </row>
      </sheetData>
      <sheetData sheetId="14">
        <row r="77">
          <cell r="D77">
            <v>172432696000</v>
          </cell>
        </row>
        <row r="78">
          <cell r="F78">
            <v>149785248500</v>
          </cell>
          <cell r="J78">
            <v>148675602961</v>
          </cell>
          <cell r="M78">
            <v>119753655972</v>
          </cell>
        </row>
        <row r="94">
          <cell r="F94">
            <v>8226666467</v>
          </cell>
          <cell r="J94">
            <v>7239098015</v>
          </cell>
          <cell r="M94">
            <v>6461448715</v>
          </cell>
        </row>
        <row r="103">
          <cell r="F103">
            <v>6710873503</v>
          </cell>
          <cell r="J103">
            <v>6448779499</v>
          </cell>
          <cell r="M103">
            <v>5144261748</v>
          </cell>
        </row>
      </sheetData>
      <sheetData sheetId="15">
        <row r="74">
          <cell r="D74">
            <v>54117854000</v>
          </cell>
        </row>
        <row r="75">
          <cell r="F75">
            <v>46474064204</v>
          </cell>
          <cell r="J75">
            <v>38368665063</v>
          </cell>
          <cell r="M75">
            <v>36931919449</v>
          </cell>
        </row>
        <row r="97">
          <cell r="F97">
            <v>6743789796</v>
          </cell>
          <cell r="J97">
            <v>6726047659</v>
          </cell>
          <cell r="M97">
            <v>6341680641</v>
          </cell>
        </row>
      </sheetData>
      <sheetData sheetId="16">
        <row r="79">
          <cell r="D79">
            <v>12342000000</v>
          </cell>
        </row>
        <row r="80">
          <cell r="F80">
            <v>4229211000</v>
          </cell>
          <cell r="J80">
            <v>4226868660</v>
          </cell>
          <cell r="M80">
            <v>3513341905</v>
          </cell>
        </row>
        <row r="98">
          <cell r="F98">
            <v>1233111000</v>
          </cell>
          <cell r="J98">
            <v>1219392667</v>
          </cell>
          <cell r="M98">
            <v>1197552000</v>
          </cell>
        </row>
        <row r="106">
          <cell r="F106">
            <v>6395475440</v>
          </cell>
          <cell r="J106">
            <v>5923799698</v>
          </cell>
          <cell r="M106">
            <v>4705678180</v>
          </cell>
        </row>
      </sheetData>
      <sheetData sheetId="17">
        <row r="70">
          <cell r="D70">
            <v>24083000000</v>
          </cell>
        </row>
        <row r="71">
          <cell r="F71">
            <v>24033000000</v>
          </cell>
          <cell r="J71">
            <v>23649434188</v>
          </cell>
          <cell r="M71">
            <v>11675459880</v>
          </cell>
        </row>
        <row r="84">
          <cell r="F84">
            <v>50000000</v>
          </cell>
          <cell r="J84">
            <v>49905000</v>
          </cell>
          <cell r="M84">
            <v>23833333</v>
          </cell>
        </row>
      </sheetData>
      <sheetData sheetId="18">
        <row r="74">
          <cell r="D74">
            <v>795869509000</v>
          </cell>
        </row>
        <row r="75">
          <cell r="F75">
            <v>668827502479</v>
          </cell>
          <cell r="J75">
            <v>664667373731</v>
          </cell>
          <cell r="M75">
            <v>505463449224</v>
          </cell>
        </row>
        <row r="102">
          <cell r="F102">
            <v>2354314000</v>
          </cell>
          <cell r="J102">
            <v>2339311329</v>
          </cell>
          <cell r="M102">
            <v>1892094313</v>
          </cell>
        </row>
        <row r="107">
          <cell r="F107">
            <v>153645501208</v>
          </cell>
          <cell r="J107">
            <v>153463702589</v>
          </cell>
          <cell r="M107">
            <v>138970378851</v>
          </cell>
        </row>
      </sheetData>
      <sheetData sheetId="19">
        <row r="68">
          <cell r="D68">
            <v>2125000000</v>
          </cell>
        </row>
        <row r="70">
          <cell r="F70">
            <v>2125000000</v>
          </cell>
          <cell r="J70">
            <v>2099388912</v>
          </cell>
          <cell r="M70">
            <v>1997450267</v>
          </cell>
        </row>
      </sheetData>
      <sheetData sheetId="20">
        <row r="82">
          <cell r="D82">
            <v>100542466000</v>
          </cell>
        </row>
        <row r="83">
          <cell r="F83">
            <v>45463523602</v>
          </cell>
          <cell r="J83">
            <v>42519506814</v>
          </cell>
          <cell r="M83">
            <v>28955187600</v>
          </cell>
        </row>
        <row r="111">
          <cell r="F111">
            <v>4758143783</v>
          </cell>
          <cell r="J111">
            <v>4368080996</v>
          </cell>
          <cell r="M111">
            <v>3440430283</v>
          </cell>
        </row>
      </sheetData>
      <sheetData sheetId="21">
        <row r="72">
          <cell r="D72">
            <v>9000000000</v>
          </cell>
        </row>
        <row r="73">
          <cell r="F73">
            <v>8966548189</v>
          </cell>
          <cell r="J73">
            <v>8727043389</v>
          </cell>
          <cell r="M73">
            <v>6937865079</v>
          </cell>
        </row>
      </sheetData>
      <sheetData sheetId="22">
        <row r="69">
          <cell r="D69">
            <v>32000000000</v>
          </cell>
        </row>
        <row r="70">
          <cell r="F70">
            <v>25899642782</v>
          </cell>
          <cell r="J70">
            <v>17030812576</v>
          </cell>
          <cell r="M70">
            <v>8138279763</v>
          </cell>
        </row>
        <row r="74">
          <cell r="F74">
            <v>6092135000</v>
          </cell>
          <cell r="J74">
            <v>6029106329</v>
          </cell>
          <cell r="M74">
            <v>5358326281</v>
          </cell>
        </row>
      </sheetData>
      <sheetData sheetId="23"/>
      <sheetData sheetId="24"/>
      <sheetData sheetId="25">
        <row r="9">
          <cell r="C9">
            <v>695606516000</v>
          </cell>
          <cell r="D9">
            <v>-4095220040</v>
          </cell>
          <cell r="G9">
            <v>617577569136</v>
          </cell>
          <cell r="K9">
            <v>622150399110</v>
          </cell>
        </row>
        <row r="10">
          <cell r="K10">
            <v>429839489157</v>
          </cell>
        </row>
        <row r="29">
          <cell r="K29">
            <v>43339995794</v>
          </cell>
        </row>
        <row r="37">
          <cell r="K37">
            <v>148970914159</v>
          </cell>
        </row>
        <row r="54">
          <cell r="C54">
            <v>147386500000</v>
          </cell>
          <cell r="D54">
            <v>4052990935</v>
          </cell>
          <cell r="G54">
            <v>100442964529.77</v>
          </cell>
          <cell r="K54">
            <v>141647600703.16</v>
          </cell>
        </row>
        <row r="97">
          <cell r="C97">
            <v>82719395000</v>
          </cell>
          <cell r="D97">
            <v>-2784454568</v>
          </cell>
          <cell r="G97">
            <v>25833500966</v>
          </cell>
          <cell r="K97">
            <v>25833500966</v>
          </cell>
        </row>
        <row r="124">
          <cell r="C124">
            <v>0</v>
          </cell>
          <cell r="D124">
            <v>547680101</v>
          </cell>
          <cell r="G124">
            <v>547679031</v>
          </cell>
          <cell r="K124">
            <v>547679032</v>
          </cell>
        </row>
        <row r="131">
          <cell r="C131">
            <v>104387254000</v>
          </cell>
          <cell r="D131">
            <v>0</v>
          </cell>
          <cell r="G131">
            <v>25507936534</v>
          </cell>
          <cell r="K131">
            <v>25602567344</v>
          </cell>
        </row>
        <row r="134">
          <cell r="C134">
            <v>201571376000</v>
          </cell>
          <cell r="D134">
            <v>0</v>
          </cell>
          <cell r="G134">
            <v>157712359789</v>
          </cell>
          <cell r="K134">
            <v>157712359789</v>
          </cell>
        </row>
        <row r="138">
          <cell r="C138">
            <v>1920600000</v>
          </cell>
          <cell r="D138">
            <v>0</v>
          </cell>
          <cell r="G138">
            <v>911277875</v>
          </cell>
          <cell r="K138">
            <v>911277875</v>
          </cell>
        </row>
        <row r="139">
          <cell r="K139">
            <v>911277875</v>
          </cell>
        </row>
        <row r="142">
          <cell r="C142">
            <v>4481501842000</v>
          </cell>
          <cell r="D142">
            <v>-36757854551</v>
          </cell>
          <cell r="G142">
            <v>3381485870181.96</v>
          </cell>
          <cell r="K142">
            <v>4047519528858</v>
          </cell>
        </row>
        <row r="562">
          <cell r="C562">
            <v>2226412995000</v>
          </cell>
          <cell r="D562">
            <v>-351465307805</v>
          </cell>
          <cell r="G562">
            <v>1684147887021</v>
          </cell>
          <cell r="K562">
            <v>1684147887021</v>
          </cell>
        </row>
        <row r="563">
          <cell r="K563">
            <v>1684147887021</v>
          </cell>
        </row>
        <row r="605">
          <cell r="C605">
            <v>21257487000</v>
          </cell>
          <cell r="D605">
            <v>19367539652</v>
          </cell>
          <cell r="G605">
            <v>34219028313</v>
          </cell>
          <cell r="K605">
            <v>34359492466</v>
          </cell>
        </row>
      </sheetData>
      <sheetData sheetId="26"/>
      <sheetData sheetId="27">
        <row r="9">
          <cell r="C9">
            <v>5993370239000</v>
          </cell>
          <cell r="E9">
            <v>-48201000000</v>
          </cell>
          <cell r="H9">
            <v>6082409643292</v>
          </cell>
        </row>
        <row r="10">
          <cell r="H10">
            <v>1733327429099</v>
          </cell>
        </row>
        <row r="11">
          <cell r="H11">
            <v>2940348004366</v>
          </cell>
        </row>
        <row r="12">
          <cell r="H12">
            <v>-1665000</v>
          </cell>
        </row>
        <row r="13">
          <cell r="H13">
            <v>480482917898</v>
          </cell>
        </row>
        <row r="14">
          <cell r="H14">
            <v>156192998603</v>
          </cell>
        </row>
        <row r="15">
          <cell r="H15">
            <v>13333315000</v>
          </cell>
        </row>
        <row r="16">
          <cell r="H16">
            <v>305588937198</v>
          </cell>
        </row>
        <row r="17">
          <cell r="H17">
            <v>349492259000</v>
          </cell>
        </row>
        <row r="18">
          <cell r="H18">
            <v>6830830000</v>
          </cell>
        </row>
        <row r="19">
          <cell r="H19">
            <v>5902564</v>
          </cell>
        </row>
        <row r="20">
          <cell r="H20">
            <v>15291141206</v>
          </cell>
        </row>
        <row r="21">
          <cell r="H21">
            <v>15291143206</v>
          </cell>
        </row>
        <row r="22">
          <cell r="H22">
            <v>10918291354</v>
          </cell>
        </row>
        <row r="23">
          <cell r="H23">
            <v>55308138798</v>
          </cell>
        </row>
        <row r="25">
          <cell r="C25">
            <v>523544702000</v>
          </cell>
          <cell r="E25">
            <v>-1662000000</v>
          </cell>
          <cell r="H25">
            <v>684617414029.40002</v>
          </cell>
        </row>
        <row r="26">
          <cell r="H26">
            <v>983414415</v>
          </cell>
        </row>
        <row r="28">
          <cell r="H28">
            <v>137359201854.71001</v>
          </cell>
        </row>
        <row r="31">
          <cell r="H31">
            <v>64046467313</v>
          </cell>
        </row>
        <row r="34">
          <cell r="H34">
            <v>160372706317.22</v>
          </cell>
        </row>
        <row r="44">
          <cell r="H44">
            <v>69601873046</v>
          </cell>
        </row>
        <row r="46">
          <cell r="H46">
            <v>132297180333</v>
          </cell>
        </row>
        <row r="47">
          <cell r="H47">
            <v>104073217097</v>
          </cell>
        </row>
        <row r="48">
          <cell r="H48">
            <v>4518700122</v>
          </cell>
        </row>
        <row r="49">
          <cell r="H49">
            <v>11364653531.469999</v>
          </cell>
        </row>
        <row r="51">
          <cell r="C51">
            <v>2101649662000</v>
          </cell>
          <cell r="E51">
            <v>-8936983508</v>
          </cell>
          <cell r="H51">
            <v>2151875876367.76</v>
          </cell>
        </row>
        <row r="74">
          <cell r="C74">
            <v>66150027000</v>
          </cell>
          <cell r="E74">
            <v>-53595244758</v>
          </cell>
          <cell r="H74">
            <v>10434950324.780001</v>
          </cell>
        </row>
        <row r="78">
          <cell r="C78">
            <v>1166137481000</v>
          </cell>
          <cell r="E78">
            <v>-18552692198</v>
          </cell>
          <cell r="H78">
            <v>1085834613482.7</v>
          </cell>
        </row>
        <row r="84">
          <cell r="C84">
            <v>0</v>
          </cell>
          <cell r="E84">
            <v>302751962305</v>
          </cell>
          <cell r="H84">
            <v>302751962305</v>
          </cell>
        </row>
        <row r="85">
          <cell r="C85">
            <v>1834755815000</v>
          </cell>
          <cell r="E85">
            <v>-709718884546</v>
          </cell>
          <cell r="H85">
            <v>61147527069</v>
          </cell>
        </row>
        <row r="88">
          <cell r="C88">
            <v>144726197000</v>
          </cell>
          <cell r="E88">
            <v>0</v>
          </cell>
          <cell r="H88">
            <v>222596299350.88</v>
          </cell>
        </row>
        <row r="91">
          <cell r="C91">
            <v>0</v>
          </cell>
          <cell r="E91">
            <v>0</v>
          </cell>
          <cell r="H91">
            <v>4823089.41</v>
          </cell>
        </row>
        <row r="92">
          <cell r="C92">
            <v>386570000000</v>
          </cell>
          <cell r="E92">
            <v>0</v>
          </cell>
          <cell r="H92">
            <v>586106745794.35999</v>
          </cell>
        </row>
        <row r="93">
          <cell r="C93">
            <v>0</v>
          </cell>
          <cell r="E93">
            <v>0</v>
          </cell>
          <cell r="H93">
            <v>878458718</v>
          </cell>
        </row>
        <row r="94">
          <cell r="C94">
            <v>42131722000</v>
          </cell>
          <cell r="E94">
            <v>37416497760</v>
          </cell>
          <cell r="H94">
            <v>53857986264.730003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
      <sheetName val="con"/>
      <sheetName val="uni"/>
      <sheetName val="ipe"/>
      <sheetName val="ffd"/>
      <sheetName val="fop"/>
      <sheetName val="idu"/>
      <sheetName val="fon"/>
      <sheetName val="cvp"/>
      <sheetName val="idr"/>
      <sheetName val="idp"/>
      <sheetName val="idi"/>
      <sheetName val="fga"/>
      <sheetName val="orq"/>
      <sheetName val="fvs"/>
      <sheetName val="jar"/>
      <sheetName val="ide"/>
      <sheetName val="idt"/>
      <sheetName val="art"/>
      <sheetName val="com"/>
      <sheetName val="cat"/>
      <sheetName val="via"/>
      <sheetName val="ues"/>
      <sheetName val="ent"/>
      <sheetName val="ctas"/>
      <sheetName val="Hoja1"/>
      <sheetName val="Hoja2"/>
      <sheetName val="todo esta pu"/>
    </sheetNames>
    <sheetDataSet>
      <sheetData sheetId="0">
        <row r="8">
          <cell r="D8">
            <v>383924000</v>
          </cell>
          <cell r="J8">
            <v>99460790</v>
          </cell>
          <cell r="M8">
            <v>64839356</v>
          </cell>
        </row>
        <row r="9">
          <cell r="J9">
            <v>99460790</v>
          </cell>
        </row>
      </sheetData>
      <sheetData sheetId="1">
        <row r="8">
          <cell r="D8">
            <v>94647861000</v>
          </cell>
          <cell r="E8">
            <v>0</v>
          </cell>
          <cell r="J8">
            <v>94055207167</v>
          </cell>
          <cell r="M8">
            <v>92074155224</v>
          </cell>
        </row>
        <row r="10">
          <cell r="J10">
            <v>64623745727</v>
          </cell>
        </row>
        <row r="26">
          <cell r="J26">
            <v>1308701464</v>
          </cell>
        </row>
        <row r="31">
          <cell r="J31">
            <v>23518703036</v>
          </cell>
        </row>
        <row r="47">
          <cell r="J47">
            <v>4604056940</v>
          </cell>
        </row>
        <row r="81">
          <cell r="D81">
            <v>8163910000</v>
          </cell>
          <cell r="E81">
            <v>0</v>
          </cell>
          <cell r="J81">
            <v>7128498963</v>
          </cell>
          <cell r="M81">
            <v>2747098016</v>
          </cell>
        </row>
        <row r="82">
          <cell r="J82">
            <v>7128498963</v>
          </cell>
        </row>
        <row r="83">
          <cell r="D83">
            <v>8163910000</v>
          </cell>
          <cell r="F83">
            <v>8163910000</v>
          </cell>
          <cell r="J83">
            <v>7128498963</v>
          </cell>
          <cell r="M83">
            <v>2747098016</v>
          </cell>
        </row>
      </sheetData>
      <sheetData sheetId="2">
        <row r="8">
          <cell r="D8">
            <v>211325320000</v>
          </cell>
          <cell r="E8">
            <v>3637246298</v>
          </cell>
          <cell r="J8">
            <v>202086716260</v>
          </cell>
          <cell r="M8">
            <v>186383726397</v>
          </cell>
        </row>
        <row r="10">
          <cell r="J10">
            <v>60694840467</v>
          </cell>
        </row>
        <row r="29">
          <cell r="J29">
            <v>38499309983</v>
          </cell>
        </row>
        <row r="34">
          <cell r="J34">
            <v>19705489879</v>
          </cell>
        </row>
        <row r="45">
          <cell r="J45">
            <v>31317774760</v>
          </cell>
        </row>
        <row r="76">
          <cell r="J76">
            <v>51869301171</v>
          </cell>
        </row>
        <row r="79">
          <cell r="D79">
            <v>48266956000</v>
          </cell>
          <cell r="E79">
            <v>-23066250000</v>
          </cell>
          <cell r="J79">
            <v>8881460305</v>
          </cell>
          <cell r="M79">
            <v>4504401485</v>
          </cell>
        </row>
        <row r="80">
          <cell r="J80">
            <v>8803990305</v>
          </cell>
        </row>
        <row r="81">
          <cell r="D81">
            <v>48000000000</v>
          </cell>
        </row>
        <row r="82">
          <cell r="F82">
            <v>19983750000</v>
          </cell>
          <cell r="J82">
            <v>7253639002</v>
          </cell>
          <cell r="M82">
            <v>3736979095</v>
          </cell>
        </row>
        <row r="97">
          <cell r="F97">
            <v>4950000000</v>
          </cell>
          <cell r="J97">
            <v>1550351303</v>
          </cell>
          <cell r="M97">
            <v>700222390</v>
          </cell>
        </row>
        <row r="102">
          <cell r="J102">
            <v>77470000</v>
          </cell>
        </row>
      </sheetData>
      <sheetData sheetId="3">
        <row r="8">
          <cell r="D8">
            <v>8547325000</v>
          </cell>
        </row>
        <row r="68">
          <cell r="D68">
            <v>47400000000</v>
          </cell>
        </row>
        <row r="69">
          <cell r="F69">
            <v>45756400653</v>
          </cell>
          <cell r="J69">
            <v>43008544474</v>
          </cell>
          <cell r="M69">
            <v>22612915462</v>
          </cell>
        </row>
        <row r="81">
          <cell r="F81">
            <v>1416610058</v>
          </cell>
          <cell r="J81">
            <v>1234283371</v>
          </cell>
          <cell r="M81">
            <v>1003793371</v>
          </cell>
        </row>
      </sheetData>
      <sheetData sheetId="4">
        <row r="8">
          <cell r="D8">
            <v>22743239000</v>
          </cell>
        </row>
        <row r="49">
          <cell r="D49">
            <v>2281440287000</v>
          </cell>
        </row>
        <row r="50">
          <cell r="F50">
            <v>1923378895440</v>
          </cell>
          <cell r="J50">
            <v>1543457358215</v>
          </cell>
          <cell r="M50">
            <v>1350155573010</v>
          </cell>
        </row>
        <row r="81">
          <cell r="F81">
            <v>31672737685</v>
          </cell>
          <cell r="J81">
            <v>31477816735</v>
          </cell>
          <cell r="M81">
            <v>22544326896</v>
          </cell>
        </row>
        <row r="85">
          <cell r="F85">
            <v>9559337653</v>
          </cell>
          <cell r="J85">
            <v>9528128853</v>
          </cell>
          <cell r="M85">
            <v>6288521947</v>
          </cell>
        </row>
      </sheetData>
      <sheetData sheetId="5">
        <row r="8">
          <cell r="D8">
            <v>4640254000</v>
          </cell>
        </row>
        <row r="60">
          <cell r="F60">
            <v>83154916505</v>
          </cell>
        </row>
        <row r="61">
          <cell r="F61">
            <v>78888720825</v>
          </cell>
          <cell r="J61">
            <v>56714297457</v>
          </cell>
          <cell r="M61">
            <v>18188385980</v>
          </cell>
        </row>
        <row r="83">
          <cell r="F83">
            <v>4266195680</v>
          </cell>
          <cell r="J83">
            <v>4253764492</v>
          </cell>
          <cell r="M83">
            <v>3434267060</v>
          </cell>
        </row>
      </sheetData>
      <sheetData sheetId="6">
        <row r="8">
          <cell r="D8">
            <v>51713737000</v>
          </cell>
        </row>
        <row r="75">
          <cell r="F75">
            <v>1312206190599</v>
          </cell>
        </row>
        <row r="76">
          <cell r="F76">
            <v>1255529961599</v>
          </cell>
          <cell r="J76">
            <v>947328030630</v>
          </cell>
          <cell r="M76">
            <v>50081939234</v>
          </cell>
        </row>
        <row r="90">
          <cell r="F90">
            <v>56676229000</v>
          </cell>
          <cell r="J90">
            <v>55769036908</v>
          </cell>
          <cell r="M90">
            <v>39157849444</v>
          </cell>
        </row>
      </sheetData>
      <sheetData sheetId="7">
        <row r="8">
          <cell r="D8">
            <v>368537910000</v>
          </cell>
        </row>
        <row r="84">
          <cell r="D84">
            <v>8298750000</v>
          </cell>
        </row>
        <row r="85">
          <cell r="F85">
            <v>8298750000</v>
          </cell>
          <cell r="J85">
            <v>5705944629</v>
          </cell>
          <cell r="M85">
            <v>2284785067</v>
          </cell>
        </row>
      </sheetData>
      <sheetData sheetId="8">
        <row r="8">
          <cell r="D8">
            <v>8944431000</v>
          </cell>
        </row>
        <row r="73">
          <cell r="D73">
            <v>76376135000</v>
          </cell>
        </row>
        <row r="74">
          <cell r="F74">
            <v>37966376055</v>
          </cell>
          <cell r="J74">
            <v>34663324238</v>
          </cell>
          <cell r="M74">
            <v>29517106467</v>
          </cell>
        </row>
        <row r="87">
          <cell r="F87">
            <v>74568090793</v>
          </cell>
          <cell r="J87">
            <v>53998168446</v>
          </cell>
          <cell r="M87">
            <v>42358948374</v>
          </cell>
        </row>
        <row r="91">
          <cell r="F91">
            <v>3877674000</v>
          </cell>
          <cell r="J91">
            <v>3770876497</v>
          </cell>
          <cell r="M91">
            <v>2858427473</v>
          </cell>
        </row>
      </sheetData>
      <sheetData sheetId="9">
        <row r="8">
          <cell r="D8">
            <v>26290347000</v>
          </cell>
        </row>
        <row r="79">
          <cell r="D79">
            <v>210245953000</v>
          </cell>
        </row>
        <row r="80">
          <cell r="F80">
            <v>171159837874</v>
          </cell>
          <cell r="J80">
            <v>123522546016</v>
          </cell>
          <cell r="M80">
            <v>80939176308</v>
          </cell>
        </row>
        <row r="102">
          <cell r="F102">
            <v>2961966900</v>
          </cell>
          <cell r="J102">
            <v>2900322466</v>
          </cell>
          <cell r="M102">
            <v>2725890801</v>
          </cell>
        </row>
        <row r="106">
          <cell r="F106">
            <v>4216047789</v>
          </cell>
          <cell r="J106">
            <v>4075850435</v>
          </cell>
          <cell r="M106">
            <v>3145841436</v>
          </cell>
        </row>
      </sheetData>
      <sheetData sheetId="10">
        <row r="8">
          <cell r="D8">
            <v>5112974000</v>
          </cell>
        </row>
        <row r="74">
          <cell r="D74">
            <v>22996133000</v>
          </cell>
        </row>
        <row r="75">
          <cell r="F75">
            <v>22937858087</v>
          </cell>
          <cell r="J75">
            <v>18322112743</v>
          </cell>
          <cell r="M75">
            <v>9222002075</v>
          </cell>
        </row>
        <row r="90">
          <cell r="F90">
            <v>573800000</v>
          </cell>
          <cell r="J90">
            <v>554122416</v>
          </cell>
          <cell r="M90">
            <v>499073718</v>
          </cell>
        </row>
      </sheetData>
      <sheetData sheetId="11">
        <row r="8">
          <cell r="D8">
            <v>11207303000</v>
          </cell>
        </row>
        <row r="72">
          <cell r="D72">
            <v>77071000000</v>
          </cell>
        </row>
        <row r="73">
          <cell r="F73">
            <v>83175900820</v>
          </cell>
          <cell r="J73">
            <v>70585391268</v>
          </cell>
          <cell r="M73">
            <v>55349636200</v>
          </cell>
        </row>
      </sheetData>
      <sheetData sheetId="12">
        <row r="8">
          <cell r="D8">
            <v>3519601000</v>
          </cell>
        </row>
        <row r="74">
          <cell r="D74">
            <v>3320000000</v>
          </cell>
        </row>
        <row r="75">
          <cell r="F75">
            <v>2613000000</v>
          </cell>
          <cell r="J75">
            <v>2579403938</v>
          </cell>
          <cell r="M75">
            <v>2413148497</v>
          </cell>
        </row>
        <row r="86">
          <cell r="F86">
            <v>707000000</v>
          </cell>
          <cell r="J86">
            <v>599349193</v>
          </cell>
          <cell r="M86">
            <v>178842172</v>
          </cell>
        </row>
      </sheetData>
      <sheetData sheetId="13">
        <row r="8">
          <cell r="D8">
            <v>19423432000</v>
          </cell>
        </row>
        <row r="78">
          <cell r="D78">
            <v>14917000000</v>
          </cell>
        </row>
        <row r="79">
          <cell r="F79">
            <v>14630947433</v>
          </cell>
          <cell r="J79">
            <v>14176531146</v>
          </cell>
          <cell r="M79">
            <v>13048483067</v>
          </cell>
        </row>
        <row r="94">
          <cell r="F94">
            <v>586000000</v>
          </cell>
          <cell r="J94">
            <v>561055528</v>
          </cell>
          <cell r="M94">
            <v>539314022</v>
          </cell>
        </row>
      </sheetData>
      <sheetData sheetId="14">
        <row r="8">
          <cell r="D8">
            <v>8180697000</v>
          </cell>
        </row>
        <row r="69">
          <cell r="D69">
            <v>156335501000</v>
          </cell>
        </row>
        <row r="70">
          <cell r="F70">
            <v>145502708938</v>
          </cell>
          <cell r="J70">
            <v>144081128221</v>
          </cell>
          <cell r="M70">
            <v>87882409153</v>
          </cell>
        </row>
      </sheetData>
      <sheetData sheetId="15">
        <row r="8">
          <cell r="D8">
            <v>5784316000</v>
          </cell>
        </row>
        <row r="70">
          <cell r="D70">
            <v>20400000000</v>
          </cell>
        </row>
        <row r="71">
          <cell r="F71">
            <v>21062820037</v>
          </cell>
          <cell r="J71">
            <v>21044173306</v>
          </cell>
          <cell r="M71">
            <v>13572209753</v>
          </cell>
        </row>
        <row r="79">
          <cell r="F79">
            <v>3397456000</v>
          </cell>
          <cell r="J79">
            <v>3394843617</v>
          </cell>
          <cell r="M79">
            <v>2116318077</v>
          </cell>
        </row>
      </sheetData>
      <sheetData sheetId="16">
        <row r="8">
          <cell r="D8">
            <v>4394904000</v>
          </cell>
        </row>
        <row r="70">
          <cell r="D70">
            <v>6026000000</v>
          </cell>
        </row>
        <row r="71">
          <cell r="F71">
            <v>4768000000</v>
          </cell>
          <cell r="J71">
            <v>4700482297</v>
          </cell>
          <cell r="M71">
            <v>4201570094</v>
          </cell>
        </row>
        <row r="75">
          <cell r="F75">
            <v>1258000000</v>
          </cell>
          <cell r="J75">
            <v>592737165</v>
          </cell>
          <cell r="M75">
            <v>559515610</v>
          </cell>
        </row>
      </sheetData>
      <sheetData sheetId="17">
        <row r="8">
          <cell r="D8">
            <v>4034675000</v>
          </cell>
        </row>
        <row r="70">
          <cell r="D70">
            <v>13500000000</v>
          </cell>
        </row>
        <row r="71">
          <cell r="D71">
            <v>11635750000</v>
          </cell>
          <cell r="J71">
            <v>11341852381</v>
          </cell>
          <cell r="M71">
            <v>5962983840</v>
          </cell>
        </row>
        <row r="77">
          <cell r="F77">
            <v>1864250000</v>
          </cell>
          <cell r="J77">
            <v>1793334602</v>
          </cell>
          <cell r="M77">
            <v>1141515884</v>
          </cell>
        </row>
      </sheetData>
      <sheetData sheetId="18">
        <row r="8">
          <cell r="D8">
            <v>7804497000</v>
          </cell>
        </row>
        <row r="70">
          <cell r="D70">
            <v>74105681000</v>
          </cell>
        </row>
        <row r="71">
          <cell r="F71">
            <v>76555134279</v>
          </cell>
          <cell r="J71">
            <v>70969280904</v>
          </cell>
          <cell r="M71">
            <v>62020939473</v>
          </cell>
        </row>
        <row r="95">
          <cell r="F95">
            <v>2450817000</v>
          </cell>
          <cell r="J95">
            <v>2445035100</v>
          </cell>
          <cell r="M95">
            <v>2418435713</v>
          </cell>
        </row>
      </sheetData>
      <sheetData sheetId="19">
        <row r="8">
          <cell r="D8">
            <v>10435593000</v>
          </cell>
        </row>
        <row r="71">
          <cell r="D71">
            <v>18500000000</v>
          </cell>
        </row>
        <row r="72">
          <cell r="F72">
            <v>18500000000</v>
          </cell>
          <cell r="J72">
            <v>18436613011</v>
          </cell>
          <cell r="M72">
            <v>11081769162</v>
          </cell>
        </row>
      </sheetData>
      <sheetData sheetId="20">
        <row r="8">
          <cell r="D8">
            <v>37538439000</v>
          </cell>
        </row>
        <row r="70">
          <cell r="D70">
            <v>14876328000</v>
          </cell>
        </row>
        <row r="71">
          <cell r="F71">
            <v>13614706160</v>
          </cell>
          <cell r="J71">
            <v>11195987738</v>
          </cell>
          <cell r="M71">
            <v>8034937115</v>
          </cell>
        </row>
      </sheetData>
      <sheetData sheetId="21">
        <row r="8">
          <cell r="D8">
            <v>16772128000</v>
          </cell>
        </row>
        <row r="75">
          <cell r="D75">
            <v>189025655000</v>
          </cell>
        </row>
        <row r="76">
          <cell r="F76">
            <v>184681655000</v>
          </cell>
          <cell r="J76">
            <v>121946246278</v>
          </cell>
          <cell r="M76">
            <v>40484112317</v>
          </cell>
        </row>
        <row r="83">
          <cell r="F83">
            <v>1500000000</v>
          </cell>
          <cell r="J83">
            <v>1498222790</v>
          </cell>
          <cell r="M83">
            <v>1377701418</v>
          </cell>
        </row>
      </sheetData>
      <sheetData sheetId="22">
        <row r="8">
          <cell r="D8">
            <v>192615105000</v>
          </cell>
        </row>
        <row r="75">
          <cell r="D75">
            <v>187701025000</v>
          </cell>
        </row>
        <row r="76">
          <cell r="F76">
            <v>8538694000</v>
          </cell>
          <cell r="J76">
            <v>7571734745</v>
          </cell>
          <cell r="M76">
            <v>5092621838</v>
          </cell>
        </row>
        <row r="82">
          <cell r="F82">
            <v>173314518000</v>
          </cell>
          <cell r="J82">
            <v>170345362524</v>
          </cell>
          <cell r="M82">
            <v>141074381986</v>
          </cell>
        </row>
        <row r="91">
          <cell r="F91">
            <v>5847813000</v>
          </cell>
          <cell r="J91">
            <v>5441245313</v>
          </cell>
          <cell r="M91">
            <v>3285700269</v>
          </cell>
        </row>
      </sheetData>
      <sheetData sheetId="23">
        <row r="32">
          <cell r="AF32">
            <v>6767564968000</v>
          </cell>
        </row>
      </sheetData>
      <sheetData sheetId="24"/>
      <sheetData sheetId="25"/>
      <sheetData sheetId="26">
        <row r="5">
          <cell r="I5">
            <v>818240907000</v>
          </cell>
          <cell r="J5">
            <v>305110245426</v>
          </cell>
          <cell r="L5">
            <v>967616288962</v>
          </cell>
          <cell r="M5">
            <v>1007171758713</v>
          </cell>
        </row>
        <row r="7">
          <cell r="M7">
            <v>140667243039</v>
          </cell>
        </row>
        <row r="29">
          <cell r="M29">
            <v>13382576766</v>
          </cell>
        </row>
        <row r="35">
          <cell r="M35">
            <v>49021651113</v>
          </cell>
        </row>
        <row r="50">
          <cell r="M50">
            <v>59798498228</v>
          </cell>
        </row>
        <row r="85">
          <cell r="M85">
            <v>731686116589</v>
          </cell>
        </row>
        <row r="90">
          <cell r="M90">
            <v>287219796</v>
          </cell>
        </row>
        <row r="91">
          <cell r="M91">
            <v>12328453182</v>
          </cell>
        </row>
        <row r="93">
          <cell r="I93">
            <v>178340000000</v>
          </cell>
          <cell r="J93">
            <v>0</v>
          </cell>
          <cell r="L93">
            <v>120735505121</v>
          </cell>
          <cell r="M93">
            <v>120735505121</v>
          </cell>
        </row>
        <row r="95">
          <cell r="M95">
            <v>120735505121</v>
          </cell>
        </row>
        <row r="96">
          <cell r="I96">
            <v>5408196090000</v>
          </cell>
          <cell r="J96">
            <v>-691572961760</v>
          </cell>
          <cell r="L96">
            <v>2283475181048</v>
          </cell>
          <cell r="M96">
            <v>3760206023264</v>
          </cell>
        </row>
        <row r="98">
          <cell r="M98">
            <v>3625584540086</v>
          </cell>
        </row>
        <row r="412">
          <cell r="M412">
            <v>3360880194</v>
          </cell>
        </row>
        <row r="416">
          <cell r="M416">
            <v>131260602984</v>
          </cell>
        </row>
      </sheetData>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 anual"/>
      <sheetName val="anual gastos"/>
      <sheetName val="eses gastos"/>
      <sheetName val="ingresos ese"/>
      <sheetName val="Hoja5"/>
      <sheetName val="ing global"/>
      <sheetName val="gas global"/>
      <sheetName val="gas entidad"/>
      <sheetName val="ing entid"/>
      <sheetName val="Hoja1"/>
    </sheetNames>
    <sheetDataSet>
      <sheetData sheetId="0"/>
      <sheetData sheetId="1">
        <row r="326">
          <cell r="F326">
            <v>8987752308207</v>
          </cell>
        </row>
      </sheetData>
      <sheetData sheetId="2"/>
      <sheetData sheetId="3"/>
      <sheetData sheetId="4"/>
      <sheetData sheetId="5"/>
      <sheetData sheetId="6">
        <row r="326">
          <cell r="F326">
            <v>11316634783143</v>
          </cell>
          <cell r="J326">
            <v>6844148065472</v>
          </cell>
          <cell r="N326">
            <v>9740151053143</v>
          </cell>
        </row>
      </sheetData>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ab"/>
      <sheetName val="gagu"/>
      <sheetName val="gcan"/>
      <sheetName val="gtra"/>
      <sheetName val="gmet"/>
      <sheetName val="glot"/>
      <sheetName val="geru"/>
      <sheetName val="ctas"/>
      <sheetName val="eic"/>
      <sheetName val="ieab"/>
      <sheetName val="iagu"/>
      <sheetName val="ican"/>
      <sheetName val="itra"/>
      <sheetName val="imet"/>
      <sheetName val="ilot"/>
      <sheetName val="ieru"/>
      <sheetName val="ictas"/>
      <sheetName val="ieic"/>
    </sheetNames>
    <sheetDataSet>
      <sheetData sheetId="0">
        <row r="9">
          <cell r="D9">
            <v>902307851087</v>
          </cell>
        </row>
        <row r="326">
          <cell r="D326">
            <v>488877661231</v>
          </cell>
        </row>
        <row r="327">
          <cell r="F327">
            <v>277593635920</v>
          </cell>
          <cell r="J327">
            <v>77808532810</v>
          </cell>
          <cell r="N327">
            <v>250014558379</v>
          </cell>
        </row>
        <row r="684">
          <cell r="F684">
            <v>347954580790</v>
          </cell>
          <cell r="J684">
            <v>205105535270</v>
          </cell>
          <cell r="N684">
            <v>228596265286</v>
          </cell>
        </row>
        <row r="851">
          <cell r="F851">
            <v>27926875233</v>
          </cell>
          <cell r="J851">
            <v>16146161028</v>
          </cell>
          <cell r="N851">
            <v>25734386500</v>
          </cell>
        </row>
      </sheetData>
      <sheetData sheetId="1" refreshError="1"/>
      <sheetData sheetId="2">
        <row r="9">
          <cell r="D9">
            <v>8613262562</v>
          </cell>
        </row>
        <row r="326">
          <cell r="D326">
            <v>14850000000</v>
          </cell>
        </row>
        <row r="327">
          <cell r="F327">
            <v>8600713300</v>
          </cell>
          <cell r="J327">
            <v>7291399461</v>
          </cell>
          <cell r="N327">
            <v>8013202747</v>
          </cell>
        </row>
        <row r="851">
          <cell r="F851">
            <v>6860998539</v>
          </cell>
          <cell r="J851">
            <v>127713666</v>
          </cell>
          <cell r="N851">
            <v>283992680</v>
          </cell>
        </row>
      </sheetData>
      <sheetData sheetId="3">
        <row r="9">
          <cell r="D9">
            <v>69005069697</v>
          </cell>
        </row>
        <row r="326">
          <cell r="D326">
            <v>1570349903167</v>
          </cell>
        </row>
        <row r="684">
          <cell r="F684">
            <v>1491657060186</v>
          </cell>
          <cell r="J684">
            <v>924884863184</v>
          </cell>
          <cell r="N684">
            <v>1432704160821</v>
          </cell>
        </row>
        <row r="851">
          <cell r="F851">
            <v>13285627578</v>
          </cell>
          <cell r="J851">
            <v>4322553233</v>
          </cell>
          <cell r="N851">
            <v>12170047232</v>
          </cell>
        </row>
      </sheetData>
      <sheetData sheetId="4">
        <row r="9">
          <cell r="D9">
            <v>8713000000</v>
          </cell>
        </row>
        <row r="326">
          <cell r="D326">
            <v>35680567086</v>
          </cell>
        </row>
        <row r="327">
          <cell r="F327">
            <v>61859447662</v>
          </cell>
          <cell r="J327">
            <v>53642131629</v>
          </cell>
          <cell r="N327">
            <v>60553882990</v>
          </cell>
        </row>
        <row r="851">
          <cell r="F851">
            <v>2224392343</v>
          </cell>
          <cell r="J851">
            <v>869173469</v>
          </cell>
          <cell r="N851">
            <v>2150475566</v>
          </cell>
        </row>
      </sheetData>
      <sheetData sheetId="5">
        <row r="9">
          <cell r="D9">
            <v>8398070000</v>
          </cell>
        </row>
        <row r="326">
          <cell r="D326">
            <v>371000000</v>
          </cell>
        </row>
        <row r="851">
          <cell r="F851">
            <v>496742426</v>
          </cell>
          <cell r="J851">
            <v>275187349</v>
          </cell>
          <cell r="N851">
            <v>491606804</v>
          </cell>
        </row>
      </sheetData>
      <sheetData sheetId="6">
        <row r="9">
          <cell r="D9">
            <v>8827035060</v>
          </cell>
        </row>
        <row r="325">
          <cell r="D325">
            <v>4731653789</v>
          </cell>
        </row>
        <row r="327">
          <cell r="F327">
            <v>14804740776</v>
          </cell>
          <cell r="J327">
            <v>9731502394</v>
          </cell>
          <cell r="N327">
            <v>12201355916</v>
          </cell>
        </row>
        <row r="851">
          <cell r="F851">
            <v>1192682595</v>
          </cell>
          <cell r="J851">
            <v>622680970</v>
          </cell>
          <cell r="N851">
            <v>1086608012</v>
          </cell>
        </row>
      </sheetData>
      <sheetData sheetId="7">
        <row r="7">
          <cell r="N7">
            <v>4414068834835</v>
          </cell>
        </row>
        <row r="9">
          <cell r="D9">
            <v>1018363026689</v>
          </cell>
          <cell r="E9">
            <v>24071346506</v>
          </cell>
          <cell r="J9">
            <v>900323733390</v>
          </cell>
          <cell r="N9">
            <v>1008795347370</v>
          </cell>
        </row>
        <row r="11">
          <cell r="N11">
            <v>189688698034</v>
          </cell>
        </row>
        <row r="37">
          <cell r="N37">
            <v>54362853921</v>
          </cell>
        </row>
        <row r="46">
          <cell r="N46">
            <v>57381395799</v>
          </cell>
        </row>
        <row r="64">
          <cell r="N64">
            <v>380116604358</v>
          </cell>
        </row>
        <row r="175">
          <cell r="N175">
            <v>200738776700</v>
          </cell>
        </row>
        <row r="179">
          <cell r="N179">
            <v>14505537716</v>
          </cell>
        </row>
        <row r="184">
          <cell r="N184">
            <v>112001480842</v>
          </cell>
        </row>
        <row r="188">
          <cell r="D188">
            <v>513323116990</v>
          </cell>
          <cell r="E188">
            <v>74986032571</v>
          </cell>
          <cell r="J188">
            <v>471424163295</v>
          </cell>
          <cell r="N188">
            <v>554789188739</v>
          </cell>
        </row>
        <row r="232">
          <cell r="N232">
            <v>15012112846</v>
          </cell>
        </row>
        <row r="237">
          <cell r="N237">
            <v>383926185</v>
          </cell>
        </row>
        <row r="246">
          <cell r="N246">
            <v>129220168226</v>
          </cell>
        </row>
        <row r="252">
          <cell r="N252">
            <v>62872415843</v>
          </cell>
        </row>
        <row r="264">
          <cell r="N264">
            <v>255611974759</v>
          </cell>
        </row>
        <row r="305">
          <cell r="N305">
            <v>91688590880</v>
          </cell>
        </row>
        <row r="306">
          <cell r="D306">
            <v>65974121369</v>
          </cell>
          <cell r="E306">
            <v>5736595838</v>
          </cell>
          <cell r="J306">
            <v>70828896485</v>
          </cell>
          <cell r="N306">
            <v>70862591033</v>
          </cell>
        </row>
        <row r="307">
          <cell r="N307">
            <v>34378930404</v>
          </cell>
        </row>
        <row r="318">
          <cell r="N318">
            <v>882355711</v>
          </cell>
        </row>
        <row r="321">
          <cell r="N321">
            <v>35561936368</v>
          </cell>
        </row>
        <row r="322">
          <cell r="N322">
            <v>39368550</v>
          </cell>
        </row>
        <row r="324">
          <cell r="D324">
            <v>2936069871623</v>
          </cell>
          <cell r="E324">
            <v>112935340076</v>
          </cell>
          <cell r="J324">
            <v>1770197072528</v>
          </cell>
          <cell r="N324">
            <v>2779622422253</v>
          </cell>
        </row>
        <row r="326">
          <cell r="N326">
            <v>2034000542933</v>
          </cell>
        </row>
        <row r="1204">
          <cell r="N1204">
            <v>85748521464</v>
          </cell>
        </row>
        <row r="1270">
          <cell r="N1270">
            <v>653624268221</v>
          </cell>
        </row>
        <row r="1284">
          <cell r="N1284">
            <v>6249089635</v>
          </cell>
        </row>
        <row r="1287">
          <cell r="D1287">
            <v>143553274553</v>
          </cell>
          <cell r="E1287">
            <v>1483619743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
          <cell r="C7">
            <v>4674170076799</v>
          </cell>
        </row>
        <row r="8">
          <cell r="C8">
            <v>982884409663</v>
          </cell>
          <cell r="D8">
            <v>251878319079</v>
          </cell>
          <cell r="G8">
            <v>1234762728742</v>
          </cell>
        </row>
        <row r="13">
          <cell r="C13">
            <v>1722870556534</v>
          </cell>
          <cell r="D13">
            <v>73959342379</v>
          </cell>
          <cell r="G13">
            <v>1816570666976</v>
          </cell>
        </row>
        <row r="34">
          <cell r="G34">
            <v>1814570666976</v>
          </cell>
        </row>
        <row r="133">
          <cell r="G133">
            <v>2000000000</v>
          </cell>
        </row>
        <row r="198">
          <cell r="C198">
            <v>1813777589563</v>
          </cell>
          <cell r="D198">
            <v>-220590396560</v>
          </cell>
          <cell r="G198">
            <v>991128671521</v>
          </cell>
        </row>
        <row r="199">
          <cell r="G199">
            <v>77458235822</v>
          </cell>
        </row>
        <row r="230">
          <cell r="G230">
            <v>1928995149</v>
          </cell>
        </row>
        <row r="234">
          <cell r="G234">
            <v>7544381366</v>
          </cell>
        </row>
        <row r="242">
          <cell r="G242">
            <v>904197059184</v>
          </cell>
        </row>
        <row r="278">
          <cell r="C278">
            <v>154637521039</v>
          </cell>
          <cell r="D278">
            <v>113388076600</v>
          </cell>
          <cell r="G278">
            <v>258906438797</v>
          </cell>
        </row>
        <row r="291">
          <cell r="G291">
            <v>1750000000</v>
          </cell>
        </row>
        <row r="295">
          <cell r="G295">
            <v>115089666682</v>
          </cell>
        </row>
        <row r="311">
          <cell r="G311">
            <v>15400000000</v>
          </cell>
        </row>
        <row r="312">
          <cell r="G312">
            <v>928476301</v>
          </cell>
        </row>
        <row r="313">
          <cell r="G313">
            <v>125738295814</v>
          </cell>
        </row>
      </sheetData>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TOTAL RED"/>
      <sheetName val="RED NORTE"/>
      <sheetName val="RED SUR"/>
      <sheetName val="RED CENTRO ORIENTE"/>
      <sheetName val="RED SUR OCCIDENTE"/>
      <sheetName val="PRODUCCION"/>
      <sheetName val="CXC Y CXP PROYECTADAS"/>
      <sheetName val="FACTURACIÓN"/>
      <sheetName val="PRESENTACIÓN 1410"/>
      <sheetName val="Hoja1"/>
      <sheetName val="DICIEMBRE 2014"/>
      <sheetName val="REVISION SGP RSSF"/>
      <sheetName val="PIC CERTIFICADO"/>
      <sheetName val="NECESIDADES PRESPUESTALES"/>
      <sheetName val="TRASLADOS"/>
      <sheetName val="PRESENTACION - A +"/>
      <sheetName val="FACTOR RECAUDO"/>
      <sheetName val="ing eses"/>
      <sheetName val="gas eses"/>
      <sheetName val="GASTOS "/>
      <sheetName val=" INGRESOS"/>
      <sheetName val="I VICTORIA"/>
      <sheetName val="I TUNAL"/>
      <sheetName val="I SIMON BOLIVAR"/>
      <sheetName val="I KENNEDY"/>
      <sheetName val="I SANTA CLARA"/>
      <sheetName val="I BOSA"/>
      <sheetName val="I ENGATIVA"/>
      <sheetName val="I FONTIBON"/>
      <sheetName val="I MEISSEN"/>
      <sheetName val="I TUNJUELITO"/>
      <sheetName val="I CENTRO ORIENTE"/>
      <sheetName val="I SAN BLAS"/>
      <sheetName val="I CHAPINERO"/>
      <sheetName val="I SUBA"/>
      <sheetName val="I USAQUEN"/>
      <sheetName val="I USME"/>
      <sheetName val="I DEL SUR"/>
      <sheetName val="I NAZARETH"/>
      <sheetName val="I PABLO VI"/>
      <sheetName val="I SAN CRISTOBAL"/>
      <sheetName val="I RAFAEL URIBE"/>
      <sheetName val="I VISTA HERMOSA"/>
      <sheetName val="GASTOS SERIES"/>
      <sheetName val="GASTOS VICTORIA 01"/>
      <sheetName val="GASTOS VICTORIA 02"/>
      <sheetName val="GASTOS MEISSEN 01"/>
      <sheetName val="GASTOS MEISSEN 02"/>
      <sheetName val="TOTAL RED GASTO"/>
      <sheetName val="G VICTORIA"/>
      <sheetName val="G TUNAL"/>
      <sheetName val="G SIMON BOLIVAR"/>
      <sheetName val="G KENNEDY"/>
      <sheetName val="G SANTA CLARA"/>
      <sheetName val="G BOSA"/>
      <sheetName val="G ENGATIVA"/>
      <sheetName val="G FONTIBON"/>
      <sheetName val="G MEISSEN"/>
      <sheetName val="G TUNJUELITO"/>
      <sheetName val="G CENTRO ORIENTE"/>
      <sheetName val="G SAN BLAS"/>
      <sheetName val="G CHAPINERO"/>
      <sheetName val="G SUBA"/>
      <sheetName val="G USAQUEN"/>
      <sheetName val="G USME"/>
      <sheetName val="G DEL SUR"/>
      <sheetName val="G NAZARETH"/>
      <sheetName val="G PABLO VI"/>
      <sheetName val="G SAN CRISTOBAL"/>
      <sheetName val="G RAFAEL URIBE"/>
      <sheetName val="G VISTA HERMO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0">
          <cell r="M10">
            <v>266707000000</v>
          </cell>
          <cell r="N10">
            <v>55503153105.5</v>
          </cell>
          <cell r="R10">
            <v>304516491910.72333</v>
          </cell>
          <cell r="U10">
            <v>271220196896.70001</v>
          </cell>
        </row>
        <row r="12">
          <cell r="R12">
            <v>43851934070</v>
          </cell>
        </row>
        <row r="39">
          <cell r="R39">
            <v>68347313620.333336</v>
          </cell>
        </row>
        <row r="44">
          <cell r="R44">
            <v>17190351408.599998</v>
          </cell>
        </row>
        <row r="61">
          <cell r="R61">
            <v>132679026184</v>
          </cell>
        </row>
        <row r="96">
          <cell r="R96">
            <v>42447866627.790001</v>
          </cell>
        </row>
        <row r="99">
          <cell r="M99">
            <v>887426000000</v>
          </cell>
          <cell r="N99">
            <v>316450379696</v>
          </cell>
          <cell r="R99">
            <v>1170329526280.8486</v>
          </cell>
          <cell r="U99">
            <v>1067903444770.9187</v>
          </cell>
        </row>
        <row r="101">
          <cell r="R101">
            <v>243937910680.65201</v>
          </cell>
        </row>
        <row r="149">
          <cell r="R149">
            <v>165020923742</v>
          </cell>
        </row>
        <row r="155">
          <cell r="R155">
            <v>604120884309.96667</v>
          </cell>
        </row>
        <row r="164">
          <cell r="R164">
            <v>551824418</v>
          </cell>
        </row>
        <row r="166">
          <cell r="R166">
            <v>13976009231</v>
          </cell>
        </row>
        <row r="168">
          <cell r="R168">
            <v>142721973899.22998</v>
          </cell>
        </row>
        <row r="171">
          <cell r="M171">
            <v>32668000000</v>
          </cell>
          <cell r="N171">
            <v>57183101837</v>
          </cell>
          <cell r="R171">
            <v>31186385730</v>
          </cell>
          <cell r="U171">
            <v>12592560994</v>
          </cell>
        </row>
        <row r="172">
          <cell r="R172">
            <v>17113951998</v>
          </cell>
        </row>
        <row r="205">
          <cell r="R205">
            <v>14072433732</v>
          </cell>
        </row>
        <row r="208">
          <cell r="M208">
            <v>0</v>
          </cell>
          <cell r="N208">
            <v>36505109387.848328</v>
          </cell>
          <cell r="R208">
            <v>0</v>
          </cell>
          <cell r="U208">
            <v>0</v>
          </cell>
        </row>
      </sheetData>
      <sheetData sheetId="22">
        <row r="8">
          <cell r="D8">
            <v>32668000000</v>
          </cell>
          <cell r="E8">
            <v>98934597502.580002</v>
          </cell>
          <cell r="G8">
            <v>131602597502.58</v>
          </cell>
        </row>
        <row r="10">
          <cell r="D10">
            <v>1152075000000.3369</v>
          </cell>
          <cell r="E10">
            <v>366735525548.77625</v>
          </cell>
          <cell r="G10">
            <v>1443493540326.1765</v>
          </cell>
        </row>
        <row r="12">
          <cell r="G12">
            <v>1437783428371.5166</v>
          </cell>
        </row>
        <row r="55">
          <cell r="G55">
            <v>5710111954.6599998</v>
          </cell>
        </row>
        <row r="57">
          <cell r="D57">
            <v>2058000000</v>
          </cell>
          <cell r="E57">
            <v>-28379025</v>
          </cell>
          <cell r="G57">
            <v>3353034027.4060001</v>
          </cell>
        </row>
        <row r="58">
          <cell r="G58">
            <v>80728473</v>
          </cell>
        </row>
        <row r="61">
          <cell r="G61">
            <v>2986841464.4060001</v>
          </cell>
        </row>
        <row r="63">
          <cell r="G63">
            <v>285464090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10">
          <cell r="M10">
            <v>14803000000</v>
          </cell>
        </row>
        <row r="172">
          <cell r="M172">
            <v>0</v>
          </cell>
        </row>
        <row r="174">
          <cell r="O174">
            <v>768268000</v>
          </cell>
          <cell r="R174">
            <v>757344991</v>
          </cell>
          <cell r="U174">
            <v>0</v>
          </cell>
        </row>
        <row r="197">
          <cell r="O197">
            <v>0</v>
          </cell>
          <cell r="R197">
            <v>0</v>
          </cell>
          <cell r="U197">
            <v>0</v>
          </cell>
        </row>
      </sheetData>
      <sheetData sheetId="52">
        <row r="10">
          <cell r="M10">
            <v>20927000000</v>
          </cell>
        </row>
        <row r="172">
          <cell r="M172">
            <v>0</v>
          </cell>
        </row>
        <row r="174">
          <cell r="O174">
            <v>254517830</v>
          </cell>
          <cell r="R174">
            <v>254517830</v>
          </cell>
          <cell r="U174">
            <v>50963614</v>
          </cell>
        </row>
        <row r="197">
          <cell r="O197">
            <v>0</v>
          </cell>
          <cell r="R197">
            <v>0</v>
          </cell>
          <cell r="U197">
            <v>0</v>
          </cell>
        </row>
      </sheetData>
      <sheetData sheetId="53">
        <row r="10">
          <cell r="M10">
            <v>22937000000</v>
          </cell>
        </row>
        <row r="172">
          <cell r="M172">
            <v>0</v>
          </cell>
        </row>
        <row r="174">
          <cell r="O174">
            <v>7902735562</v>
          </cell>
          <cell r="R174">
            <v>4842480732</v>
          </cell>
          <cell r="U174">
            <v>266324069</v>
          </cell>
        </row>
        <row r="197">
          <cell r="O197">
            <v>0</v>
          </cell>
          <cell r="R197">
            <v>0</v>
          </cell>
          <cell r="U197">
            <v>0</v>
          </cell>
        </row>
      </sheetData>
      <sheetData sheetId="54">
        <row r="10">
          <cell r="M10">
            <v>21018000000</v>
          </cell>
        </row>
        <row r="172">
          <cell r="M172">
            <v>0</v>
          </cell>
        </row>
        <row r="174">
          <cell r="O174">
            <v>2355606863</v>
          </cell>
          <cell r="R174">
            <v>2338155929</v>
          </cell>
          <cell r="U174">
            <v>1047646895</v>
          </cell>
        </row>
        <row r="197">
          <cell r="O197">
            <v>0</v>
          </cell>
          <cell r="R197">
            <v>0</v>
          </cell>
          <cell r="U197">
            <v>0</v>
          </cell>
        </row>
      </sheetData>
      <sheetData sheetId="55">
        <row r="10">
          <cell r="M10">
            <v>14895000000</v>
          </cell>
        </row>
        <row r="172">
          <cell r="M172">
            <v>0</v>
          </cell>
        </row>
        <row r="174">
          <cell r="O174">
            <v>682941877</v>
          </cell>
          <cell r="R174">
            <v>0</v>
          </cell>
          <cell r="U174">
            <v>0</v>
          </cell>
        </row>
        <row r="197">
          <cell r="O197">
            <v>0</v>
          </cell>
          <cell r="R197">
            <v>0</v>
          </cell>
          <cell r="U197">
            <v>0</v>
          </cell>
        </row>
      </sheetData>
      <sheetData sheetId="56">
        <row r="10">
          <cell r="M10">
            <v>3747000000</v>
          </cell>
        </row>
        <row r="172">
          <cell r="M172">
            <v>17530362626</v>
          </cell>
        </row>
        <row r="174">
          <cell r="O174">
            <v>18349043916</v>
          </cell>
          <cell r="R174">
            <v>1047174540</v>
          </cell>
          <cell r="U174">
            <v>47036100</v>
          </cell>
        </row>
        <row r="197">
          <cell r="O197">
            <v>0</v>
          </cell>
          <cell r="R197">
            <v>0</v>
          </cell>
          <cell r="U197">
            <v>0</v>
          </cell>
        </row>
      </sheetData>
      <sheetData sheetId="57">
        <row r="10">
          <cell r="M10">
            <v>16454000000</v>
          </cell>
        </row>
        <row r="172">
          <cell r="M172">
            <v>0</v>
          </cell>
        </row>
        <row r="174">
          <cell r="O174">
            <v>1246919148</v>
          </cell>
          <cell r="R174">
            <v>1046659389</v>
          </cell>
          <cell r="U174">
            <v>1018114593</v>
          </cell>
        </row>
        <row r="197">
          <cell r="O197">
            <v>0</v>
          </cell>
          <cell r="R197">
            <v>0</v>
          </cell>
          <cell r="U197">
            <v>0</v>
          </cell>
        </row>
      </sheetData>
      <sheetData sheetId="58">
        <row r="10">
          <cell r="M10">
            <v>9575000000</v>
          </cell>
        </row>
        <row r="172">
          <cell r="M172">
            <v>0</v>
          </cell>
        </row>
        <row r="174">
          <cell r="O174">
            <v>638042535</v>
          </cell>
          <cell r="R174">
            <v>623072218</v>
          </cell>
          <cell r="U174">
            <v>461894676</v>
          </cell>
        </row>
        <row r="197">
          <cell r="O197">
            <v>0</v>
          </cell>
          <cell r="R197">
            <v>0</v>
          </cell>
          <cell r="U197">
            <v>0</v>
          </cell>
        </row>
      </sheetData>
      <sheetData sheetId="59">
        <row r="10">
          <cell r="M10">
            <v>18089000000</v>
          </cell>
        </row>
        <row r="172">
          <cell r="M172">
            <v>0</v>
          </cell>
        </row>
        <row r="174">
          <cell r="O174">
            <v>1733536053</v>
          </cell>
          <cell r="R174">
            <v>1600369600</v>
          </cell>
          <cell r="U174">
            <v>249999720</v>
          </cell>
        </row>
        <row r="197">
          <cell r="O197">
            <v>0</v>
          </cell>
          <cell r="R197">
            <v>0</v>
          </cell>
          <cell r="U197">
            <v>0</v>
          </cell>
        </row>
      </sheetData>
      <sheetData sheetId="60">
        <row r="10">
          <cell r="M10">
            <v>9046000000</v>
          </cell>
        </row>
        <row r="172">
          <cell r="M172">
            <v>0</v>
          </cell>
        </row>
        <row r="174">
          <cell r="O174">
            <v>674538293</v>
          </cell>
          <cell r="R174">
            <v>666295081</v>
          </cell>
          <cell r="U174">
            <v>275909632</v>
          </cell>
        </row>
        <row r="197">
          <cell r="O197">
            <v>540000000</v>
          </cell>
          <cell r="R197">
            <v>64444758</v>
          </cell>
          <cell r="U197">
            <v>20720220</v>
          </cell>
        </row>
      </sheetData>
      <sheetData sheetId="61">
        <row r="10">
          <cell r="M10">
            <v>8329000000</v>
          </cell>
        </row>
        <row r="172">
          <cell r="M172">
            <v>0</v>
          </cell>
        </row>
        <row r="174">
          <cell r="O174">
            <v>3357209</v>
          </cell>
          <cell r="R174">
            <v>0</v>
          </cell>
          <cell r="U174">
            <v>0</v>
          </cell>
        </row>
        <row r="197">
          <cell r="O197">
            <v>1061655442</v>
          </cell>
          <cell r="R197">
            <v>926156585</v>
          </cell>
          <cell r="U197">
            <v>581194878</v>
          </cell>
        </row>
      </sheetData>
      <sheetData sheetId="62">
        <row r="10">
          <cell r="M10">
            <v>5784000000</v>
          </cell>
        </row>
        <row r="172">
          <cell r="M172">
            <v>0</v>
          </cell>
        </row>
        <row r="174">
          <cell r="O174">
            <v>480000000</v>
          </cell>
          <cell r="R174">
            <v>218711000</v>
          </cell>
          <cell r="U174">
            <v>0</v>
          </cell>
        </row>
        <row r="197">
          <cell r="O197">
            <v>0</v>
          </cell>
          <cell r="R197">
            <v>0</v>
          </cell>
          <cell r="U197">
            <v>0</v>
          </cell>
        </row>
      </sheetData>
      <sheetData sheetId="63">
        <row r="10">
          <cell r="M10">
            <v>5547000000</v>
          </cell>
        </row>
        <row r="172">
          <cell r="M172">
            <v>0</v>
          </cell>
        </row>
        <row r="174">
          <cell r="O174">
            <v>0</v>
          </cell>
          <cell r="R174">
            <v>0</v>
          </cell>
          <cell r="U174">
            <v>0</v>
          </cell>
        </row>
        <row r="197">
          <cell r="O197">
            <v>0</v>
          </cell>
          <cell r="R197">
            <v>0</v>
          </cell>
          <cell r="U197">
            <v>0</v>
          </cell>
        </row>
      </sheetData>
      <sheetData sheetId="64">
        <row r="10">
          <cell r="M10">
            <v>15052000000</v>
          </cell>
        </row>
        <row r="172">
          <cell r="M172">
            <v>0</v>
          </cell>
        </row>
        <row r="174">
          <cell r="O174">
            <v>0</v>
          </cell>
          <cell r="R174">
            <v>0</v>
          </cell>
          <cell r="U174">
            <v>0</v>
          </cell>
        </row>
        <row r="197">
          <cell r="O197">
            <v>0</v>
          </cell>
          <cell r="R197">
            <v>0</v>
          </cell>
          <cell r="U197">
            <v>0</v>
          </cell>
        </row>
      </sheetData>
      <sheetData sheetId="65">
        <row r="10">
          <cell r="M10">
            <v>5564000000</v>
          </cell>
        </row>
        <row r="172">
          <cell r="M172">
            <v>0</v>
          </cell>
        </row>
        <row r="174">
          <cell r="O174">
            <v>250000000</v>
          </cell>
          <cell r="R174">
            <v>227533058</v>
          </cell>
          <cell r="U174">
            <v>227533058</v>
          </cell>
        </row>
        <row r="197">
          <cell r="O197">
            <v>0</v>
          </cell>
          <cell r="R197">
            <v>0</v>
          </cell>
          <cell r="U197">
            <v>0</v>
          </cell>
        </row>
      </sheetData>
      <sheetData sheetId="66">
        <row r="10">
          <cell r="M10">
            <v>8229000000</v>
          </cell>
        </row>
        <row r="172">
          <cell r="M172">
            <v>13922000000</v>
          </cell>
        </row>
        <row r="174">
          <cell r="O174">
            <v>13922090529</v>
          </cell>
          <cell r="R174">
            <v>48500000</v>
          </cell>
          <cell r="U174">
            <v>19400000</v>
          </cell>
        </row>
        <row r="197">
          <cell r="O197">
            <v>0</v>
          </cell>
          <cell r="R197">
            <v>0</v>
          </cell>
          <cell r="U197">
            <v>0</v>
          </cell>
        </row>
      </sheetData>
      <sheetData sheetId="67">
        <row r="10">
          <cell r="M10">
            <v>11682000000</v>
          </cell>
        </row>
        <row r="172">
          <cell r="M172">
            <v>0</v>
          </cell>
        </row>
        <row r="174">
          <cell r="O174">
            <v>9938248910</v>
          </cell>
          <cell r="R174">
            <v>47623340</v>
          </cell>
          <cell r="U174">
            <v>0</v>
          </cell>
        </row>
        <row r="197">
          <cell r="O197">
            <v>0</v>
          </cell>
          <cell r="R197">
            <v>0</v>
          </cell>
          <cell r="U197">
            <v>0</v>
          </cell>
        </row>
      </sheetData>
      <sheetData sheetId="68">
        <row r="10">
          <cell r="M10">
            <v>3727000000</v>
          </cell>
        </row>
        <row r="172">
          <cell r="M172">
            <v>0</v>
          </cell>
        </row>
        <row r="174">
          <cell r="O174">
            <v>0</v>
          </cell>
          <cell r="R174">
            <v>0</v>
          </cell>
          <cell r="U174">
            <v>0</v>
          </cell>
        </row>
        <row r="197">
          <cell r="O197">
            <v>0</v>
          </cell>
          <cell r="R197">
            <v>0</v>
          </cell>
          <cell r="U197">
            <v>0</v>
          </cell>
        </row>
      </sheetData>
      <sheetData sheetId="69">
        <row r="10">
          <cell r="M10">
            <v>18768000000</v>
          </cell>
        </row>
        <row r="172">
          <cell r="M172">
            <v>0</v>
          </cell>
        </row>
        <row r="174">
          <cell r="O174">
            <v>2231488121</v>
          </cell>
          <cell r="R174">
            <v>1790120483</v>
          </cell>
          <cell r="U174">
            <v>1211687889</v>
          </cell>
        </row>
        <row r="197">
          <cell r="O197">
            <v>300000000</v>
          </cell>
          <cell r="R197">
            <v>252424000</v>
          </cell>
          <cell r="U197">
            <v>252117500</v>
          </cell>
        </row>
      </sheetData>
      <sheetData sheetId="70">
        <row r="10">
          <cell r="M10">
            <v>8699000000</v>
          </cell>
        </row>
        <row r="172">
          <cell r="M172">
            <v>0</v>
          </cell>
        </row>
        <row r="174">
          <cell r="O174">
            <v>274835543</v>
          </cell>
          <cell r="R174">
            <v>205828098</v>
          </cell>
          <cell r="U174">
            <v>0</v>
          </cell>
        </row>
        <row r="197">
          <cell r="O197">
            <v>0</v>
          </cell>
          <cell r="R197">
            <v>0</v>
          </cell>
          <cell r="U197">
            <v>0</v>
          </cell>
        </row>
      </sheetData>
      <sheetData sheetId="71">
        <row r="10">
          <cell r="M10">
            <v>8960000000</v>
          </cell>
        </row>
        <row r="172">
          <cell r="M172">
            <v>0</v>
          </cell>
        </row>
        <row r="174">
          <cell r="O174">
            <v>10717151757</v>
          </cell>
          <cell r="R174">
            <v>59210566</v>
          </cell>
          <cell r="U174">
            <v>35838699</v>
          </cell>
        </row>
        <row r="197">
          <cell r="O197">
            <v>0</v>
          </cell>
          <cell r="R197">
            <v>0</v>
          </cell>
          <cell r="U197">
            <v>0</v>
          </cell>
        </row>
      </sheetData>
      <sheetData sheetId="72">
        <row r="10">
          <cell r="M10">
            <v>14875000000</v>
          </cell>
        </row>
        <row r="172">
          <cell r="M172">
            <v>0</v>
          </cell>
        </row>
        <row r="174">
          <cell r="O174">
            <v>100000000</v>
          </cell>
          <cell r="R174">
            <v>97329800</v>
          </cell>
          <cell r="U174">
            <v>28710000</v>
          </cell>
        </row>
        <row r="197">
          <cell r="O197">
            <v>0</v>
          </cell>
          <cell r="R197">
            <v>0</v>
          </cell>
          <cell r="U197">
            <v>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NET"/>
      <sheetName val="CTAS NETO"/>
      <sheetName val="ENT NETO"/>
      <sheetName val="neto"/>
      <sheetName val="2AC_111 00"/>
      <sheetName val="2EI_260 01"/>
      <sheetName val="2EP_200 01"/>
      <sheetName val="2EP_201 01"/>
      <sheetName val="2EP_203 01"/>
      <sheetName val="2EP_204 01"/>
      <sheetName val="2EP_206 01"/>
      <sheetName val="2EP_208 01"/>
      <sheetName val="2EP_211 01"/>
      <sheetName val="2EP_213 01"/>
      <sheetName val="2EP_214 01"/>
      <sheetName val="2EP_215 01"/>
      <sheetName val="2EP_216 01"/>
      <sheetName val="2EP_217 01"/>
      <sheetName val="2EP_218 01"/>
      <sheetName val="2EP_219 01"/>
      <sheetName val="2EP_220 01"/>
      <sheetName val="2EP_221 01"/>
      <sheetName val="2EP_222 01"/>
      <sheetName val="2EP_226 01"/>
      <sheetName val="2EP_227 01"/>
      <sheetName val="2EP_228 01"/>
      <sheetName val="2EP_230 01"/>
      <sheetName val="2EP_235 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8">
          <cell r="E78">
            <v>52820062000</v>
          </cell>
          <cell r="G78">
            <v>950323847</v>
          </cell>
          <cell r="J78">
            <v>64598927504</v>
          </cell>
        </row>
        <row r="80">
          <cell r="J80">
            <v>34896121859</v>
          </cell>
        </row>
        <row r="82">
          <cell r="J82">
            <v>24039994436</v>
          </cell>
        </row>
        <row r="85">
          <cell r="J85">
            <v>5662811209</v>
          </cell>
        </row>
        <row r="86">
          <cell r="E86">
            <v>15726893000</v>
          </cell>
          <cell r="G86">
            <v>2377017697</v>
          </cell>
          <cell r="J86">
            <v>19132407604</v>
          </cell>
        </row>
        <row r="87">
          <cell r="J87">
            <v>19132407604</v>
          </cell>
        </row>
        <row r="90">
          <cell r="E90">
            <v>29088641000</v>
          </cell>
          <cell r="G90">
            <v>-22756345246</v>
          </cell>
          <cell r="J90">
            <v>3903769440</v>
          </cell>
        </row>
        <row r="92">
          <cell r="J92">
            <v>128121754</v>
          </cell>
        </row>
        <row r="95">
          <cell r="J95">
            <v>1041060361</v>
          </cell>
        </row>
        <row r="98">
          <cell r="J98">
            <v>1429007073</v>
          </cell>
        </row>
        <row r="99">
          <cell r="J99">
            <v>1305580252</v>
          </cell>
        </row>
      </sheetData>
      <sheetData sheetId="27">
        <row r="15">
          <cell r="E15">
            <v>2630000000</v>
          </cell>
          <cell r="J15">
            <v>2630000000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 NETO"/>
      <sheetName val="Hoja2"/>
      <sheetName val="Hoja1"/>
      <sheetName val="2EI_260 01"/>
      <sheetName val="2EP_200 01"/>
      <sheetName val="2EP_201 01"/>
      <sheetName val="2EP_203 01"/>
      <sheetName val="2EP_204 01"/>
      <sheetName val="2EP_206 01"/>
      <sheetName val="2EP_208 01"/>
      <sheetName val="2EP_211 01"/>
      <sheetName val="2EP_213 01"/>
      <sheetName val="2EP_214 01"/>
      <sheetName val="2EP_215 01"/>
      <sheetName val="2EP_216 01"/>
      <sheetName val="2EP_217 01"/>
      <sheetName val="2EP_218 01"/>
      <sheetName val="2EP_219 01"/>
      <sheetName val="2EP_220 01"/>
      <sheetName val="2EP_221 01"/>
      <sheetName val="2EP_222 01"/>
      <sheetName val="2EP_226 01"/>
      <sheetName val="2EP_227 01"/>
      <sheetName val="2EP_228 01"/>
    </sheetNames>
    <sheetDataSet>
      <sheetData sheetId="0"/>
      <sheetData sheetId="1">
        <row r="5">
          <cell r="I5">
            <v>523724622000</v>
          </cell>
          <cell r="J5">
            <v>48767381521</v>
          </cell>
          <cell r="L5">
            <v>711826836560</v>
          </cell>
        </row>
        <row r="10">
          <cell r="L10">
            <v>2475704988</v>
          </cell>
        </row>
        <row r="12">
          <cell r="L12">
            <v>189820547180</v>
          </cell>
        </row>
        <row r="22">
          <cell r="L22">
            <v>231663815556</v>
          </cell>
        </row>
        <row r="29">
          <cell r="L29">
            <v>203979198524</v>
          </cell>
        </row>
        <row r="52">
          <cell r="L52">
            <v>40280703811</v>
          </cell>
        </row>
        <row r="53">
          <cell r="L53">
            <v>31913596034</v>
          </cell>
        </row>
        <row r="56">
          <cell r="L56">
            <v>11693270467</v>
          </cell>
        </row>
        <row r="57">
          <cell r="I57">
            <v>638570000000</v>
          </cell>
          <cell r="J57">
            <v>-190000550000</v>
          </cell>
          <cell r="L57">
            <v>441173271331</v>
          </cell>
        </row>
        <row r="58">
          <cell r="L58">
            <v>441173271331</v>
          </cell>
        </row>
        <row r="62">
          <cell r="I62">
            <v>1208732870000</v>
          </cell>
          <cell r="J62">
            <v>-115865829186</v>
          </cell>
          <cell r="L62">
            <v>1143103136413</v>
          </cell>
        </row>
        <row r="63">
          <cell r="L63">
            <v>954172352816</v>
          </cell>
        </row>
        <row r="70">
          <cell r="L70">
            <v>150878374558</v>
          </cell>
        </row>
        <row r="73">
          <cell r="L73">
            <v>36004601245</v>
          </cell>
        </row>
        <row r="74">
          <cell r="L74">
            <v>17907420</v>
          </cell>
        </row>
        <row r="75">
          <cell r="L75">
            <v>2029900374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ab"/>
      <sheetName val="agua"/>
      <sheetName val="tran"/>
      <sheetName val="cana"/>
      <sheetName val="metr"/>
      <sheetName val="lote"/>
      <sheetName val="eru"/>
      <sheetName val="ingcta"/>
      <sheetName val="eici"/>
      <sheetName val="eicg"/>
      <sheetName val="gascta"/>
      <sheetName val="geaa"/>
      <sheetName val="gagu"/>
      <sheetName val="gtra"/>
      <sheetName val="gcan"/>
      <sheetName val="gmet"/>
      <sheetName val="glot"/>
      <sheetName val="geru"/>
      <sheetName val="Hoja2"/>
    </sheetNames>
    <sheetDataSet>
      <sheetData sheetId="0"/>
      <sheetData sheetId="1"/>
      <sheetData sheetId="2"/>
      <sheetData sheetId="3"/>
      <sheetData sheetId="4"/>
      <sheetData sheetId="5"/>
      <sheetData sheetId="6"/>
      <sheetData sheetId="7" refreshError="1">
        <row r="8">
          <cell r="C8">
            <v>1343725546.825</v>
          </cell>
        </row>
        <row r="99">
          <cell r="G99">
            <v>0</v>
          </cell>
        </row>
      </sheetData>
      <sheetData sheetId="8" refreshError="1"/>
      <sheetData sheetId="9" refreshError="1"/>
      <sheetData sheetId="10">
        <row r="9">
          <cell r="D9">
            <v>982516270.12300003</v>
          </cell>
        </row>
      </sheetData>
      <sheetData sheetId="11"/>
      <sheetData sheetId="12"/>
      <sheetData sheetId="13"/>
      <sheetData sheetId="14"/>
      <sheetData sheetId="15"/>
      <sheetData sheetId="16"/>
      <sheetData sheetId="17"/>
      <sheetData sheetId="1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
      <sheetName val="gas"/>
      <sheetName val="funcio"/>
      <sheetName val="operativos"/>
      <sheetName val="deuda"/>
      <sheetName val="inver"/>
      <sheetName val="anexo1"/>
      <sheetName val="anex. 2-3"/>
      <sheetName val="anexo4"/>
      <sheetName val="objetivos"/>
      <sheetName val="plan"/>
      <sheetName val="tip"/>
      <sheetName val="rango"/>
      <sheetName val="pi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2">
          <cell r="C12">
            <v>504668000</v>
          </cell>
        </row>
        <row r="28">
          <cell r="B28">
            <v>129049512.91420069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gastos"/>
      <sheetName val="conc"/>
      <sheetName val="pers"/>
      <sheetName val="gral"/>
      <sheetName val="veed"/>
      <sheetName val="gobi"/>
      <sheetName val="shda"/>
      <sheetName val="corp"/>
      <sheetName val="ppto"/>
      <sheetName val="cred"/>
      <sheetName val="fcon"/>
      <sheetName val="educ"/>
      <sheetName val="mova"/>
      <sheetName val="movs"/>
      <sheetName val="salu"/>
      <sheetName val="dllo"/>
      <sheetName val="habi"/>
      <sheetName val="cult"/>
      <sheetName val="plan"/>
      <sheetName val="inte"/>
      <sheetName val="dasc"/>
      <sheetName val="ambi"/>
      <sheetName val="dade"/>
      <sheetName val="bomb"/>
      <sheetName val="gastos1"/>
      <sheetName val="hda1"/>
      <sheetName val="ppto1"/>
      <sheetName val="cred1"/>
      <sheetName val="agregado"/>
    </sheetNames>
    <sheetDataSet>
      <sheetData sheetId="0"/>
      <sheetData sheetId="1">
        <row r="116">
          <cell r="N116">
            <v>0</v>
          </cell>
        </row>
        <row r="301">
          <cell r="N301">
            <v>0</v>
          </cell>
        </row>
        <row r="313">
          <cell r="N313">
            <v>0</v>
          </cell>
        </row>
      </sheetData>
      <sheetData sheetId="2">
        <row r="320">
          <cell r="H320">
            <v>0</v>
          </cell>
        </row>
      </sheetData>
      <sheetData sheetId="3">
        <row r="320">
          <cell r="H320">
            <v>0</v>
          </cell>
        </row>
      </sheetData>
      <sheetData sheetId="4">
        <row r="320">
          <cell r="H320">
            <v>0</v>
          </cell>
        </row>
      </sheetData>
      <sheetData sheetId="5">
        <row r="320">
          <cell r="H320">
            <v>0</v>
          </cell>
        </row>
      </sheetData>
      <sheetData sheetId="6">
        <row r="320">
          <cell r="H320">
            <v>0</v>
          </cell>
        </row>
      </sheetData>
      <sheetData sheetId="7"/>
      <sheetData sheetId="8">
        <row r="320">
          <cell r="H320">
            <v>0</v>
          </cell>
        </row>
      </sheetData>
      <sheetData sheetId="9">
        <row r="320">
          <cell r="H320">
            <v>0</v>
          </cell>
        </row>
      </sheetData>
      <sheetData sheetId="10">
        <row r="320">
          <cell r="H320">
            <v>0</v>
          </cell>
        </row>
      </sheetData>
      <sheetData sheetId="11">
        <row r="320">
          <cell r="H320">
            <v>0</v>
          </cell>
        </row>
      </sheetData>
      <sheetData sheetId="12">
        <row r="320">
          <cell r="H320">
            <v>0</v>
          </cell>
        </row>
      </sheetData>
      <sheetData sheetId="13">
        <row r="320">
          <cell r="H320">
            <v>0</v>
          </cell>
        </row>
      </sheetData>
      <sheetData sheetId="14">
        <row r="320">
          <cell r="H320">
            <v>0</v>
          </cell>
        </row>
      </sheetData>
      <sheetData sheetId="15">
        <row r="320">
          <cell r="H320">
            <v>0</v>
          </cell>
        </row>
      </sheetData>
      <sheetData sheetId="16">
        <row r="320">
          <cell r="H320">
            <v>0</v>
          </cell>
        </row>
      </sheetData>
      <sheetData sheetId="17">
        <row r="320">
          <cell r="H320">
            <v>0</v>
          </cell>
        </row>
      </sheetData>
      <sheetData sheetId="18">
        <row r="320">
          <cell r="H320">
            <v>0</v>
          </cell>
        </row>
      </sheetData>
      <sheetData sheetId="19">
        <row r="320">
          <cell r="H320">
            <v>0</v>
          </cell>
        </row>
      </sheetData>
      <sheetData sheetId="20">
        <row r="320">
          <cell r="H320">
            <v>0</v>
          </cell>
        </row>
      </sheetData>
      <sheetData sheetId="21">
        <row r="320">
          <cell r="H320">
            <v>0</v>
          </cell>
        </row>
      </sheetData>
      <sheetData sheetId="22">
        <row r="320">
          <cell r="H320">
            <v>0</v>
          </cell>
        </row>
      </sheetData>
      <sheetData sheetId="23">
        <row r="320">
          <cell r="H320">
            <v>0</v>
          </cell>
        </row>
      </sheetData>
      <sheetData sheetId="24">
        <row r="320">
          <cell r="H320">
            <v>0</v>
          </cell>
        </row>
      </sheetData>
      <sheetData sheetId="25"/>
      <sheetData sheetId="26"/>
      <sheetData sheetId="27"/>
      <sheetData sheetId="28"/>
      <sheetData sheetId="2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eic"/>
      <sheetName val="eses"/>
      <sheetName val="ing cta"/>
      <sheetName val="gas cta"/>
      <sheetName val="ing ent"/>
      <sheetName val="gas ent"/>
      <sheetName val="Hoja1"/>
    </sheetNames>
    <sheetDataSet>
      <sheetData sheetId="0"/>
      <sheetData sheetId="1"/>
      <sheetData sheetId="2"/>
      <sheetData sheetId="3"/>
      <sheetData sheetId="4">
        <row r="305">
          <cell r="F305">
            <v>687402287.42399991</v>
          </cell>
          <cell r="N305">
            <v>379122397.29900002</v>
          </cell>
        </row>
        <row r="306">
          <cell r="F306">
            <v>242140423.75899994</v>
          </cell>
          <cell r="N306">
            <v>174305764.63800001</v>
          </cell>
        </row>
        <row r="310">
          <cell r="F310">
            <v>163709303</v>
          </cell>
          <cell r="N310">
            <v>121630131.436</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e"/>
      <sheetName val="ffd"/>
      <sheetName val="fop"/>
      <sheetName val="idu"/>
      <sheetName val="fce"/>
      <sheetName val="cvp"/>
      <sheetName val="idr"/>
      <sheetName val="idt"/>
      <sheetName val="idp"/>
      <sheetName val="idi"/>
      <sheetName val="fga"/>
      <sheetName val="orq"/>
      <sheetName val="fvs"/>
      <sheetName val="jar"/>
      <sheetName val="art"/>
      <sheetName val="ide"/>
      <sheetName val="com"/>
      <sheetName val="cat"/>
      <sheetName val="via"/>
      <sheetName val="ues"/>
      <sheetName val="consol"/>
      <sheetName val="res"/>
    </sheetNames>
    <sheetDataSet>
      <sheetData sheetId="0">
        <row r="432">
          <cell r="D432">
            <v>52244441</v>
          </cell>
        </row>
        <row r="434">
          <cell r="F434">
            <v>19671460.454</v>
          </cell>
          <cell r="J434">
            <v>11636415.361000001</v>
          </cell>
          <cell r="N434">
            <v>19668185.522</v>
          </cell>
        </row>
        <row r="885">
          <cell r="F885">
            <v>21421593.987</v>
          </cell>
          <cell r="J885">
            <v>2015571.9170000001</v>
          </cell>
          <cell r="N885">
            <v>5106003.6100000003</v>
          </cell>
        </row>
        <row r="1787">
          <cell r="F1787">
            <v>2094180</v>
          </cell>
          <cell r="J1787">
            <v>730049.49100000004</v>
          </cell>
          <cell r="N1787">
            <v>754635.40099999995</v>
          </cell>
        </row>
        <row r="1801">
          <cell r="F1801">
            <v>9057205.7229999993</v>
          </cell>
          <cell r="J1801">
            <v>6368571.5479999995</v>
          </cell>
          <cell r="N1801">
            <v>9050801.0329999998</v>
          </cell>
        </row>
      </sheetData>
      <sheetData sheetId="1">
        <row r="432">
          <cell r="D432">
            <v>1658299498.0009999</v>
          </cell>
        </row>
        <row r="434">
          <cell r="F434">
            <v>529630290.42100012</v>
          </cell>
          <cell r="J434">
            <v>472182768.56099999</v>
          </cell>
          <cell r="N434">
            <v>529630290.46600002</v>
          </cell>
        </row>
        <row r="885">
          <cell r="F885">
            <v>951236047.6049999</v>
          </cell>
          <cell r="J885">
            <v>157200999.116</v>
          </cell>
          <cell r="N885">
            <v>293643281.81300008</v>
          </cell>
        </row>
        <row r="1628">
          <cell r="F1628">
            <v>3468596</v>
          </cell>
          <cell r="J1628">
            <v>1339086.9170000001</v>
          </cell>
          <cell r="N1628">
            <v>1567637.2879999999</v>
          </cell>
        </row>
        <row r="1787">
          <cell r="F1787">
            <v>17657925</v>
          </cell>
          <cell r="J1787">
            <v>3089485.165</v>
          </cell>
          <cell r="N1787">
            <v>3162593.9509999999</v>
          </cell>
        </row>
        <row r="1801">
          <cell r="F1801">
            <v>156306636.75200003</v>
          </cell>
          <cell r="J1801">
            <v>105492321.59599999</v>
          </cell>
          <cell r="N1801">
            <v>155432927.40000001</v>
          </cell>
        </row>
      </sheetData>
      <sheetData sheetId="2">
        <row r="432">
          <cell r="D432">
            <v>37793563</v>
          </cell>
        </row>
        <row r="434">
          <cell r="F434">
            <v>11903829.961999997</v>
          </cell>
          <cell r="J434">
            <v>10686012.692000002</v>
          </cell>
          <cell r="N434">
            <v>11878681.960999999</v>
          </cell>
        </row>
        <row r="885">
          <cell r="F885">
            <v>20133420.038000003</v>
          </cell>
          <cell r="J885">
            <v>1544684.8609999998</v>
          </cell>
          <cell r="N885">
            <v>6467527.7960000001</v>
          </cell>
        </row>
        <row r="1787">
          <cell r="F1787">
            <v>4750</v>
          </cell>
          <cell r="J1787">
            <v>4750</v>
          </cell>
          <cell r="N1787">
            <v>4750</v>
          </cell>
        </row>
        <row r="1801">
          <cell r="F1801">
            <v>5751563</v>
          </cell>
          <cell r="J1801">
            <v>4852479.8260000004</v>
          </cell>
          <cell r="N1801">
            <v>5568043.7179999994</v>
          </cell>
        </row>
      </sheetData>
      <sheetData sheetId="3">
        <row r="432">
          <cell r="D432">
            <v>1397616034</v>
          </cell>
        </row>
        <row r="434">
          <cell r="F434">
            <v>287341790.31599998</v>
          </cell>
          <cell r="J434">
            <v>136746542.53</v>
          </cell>
          <cell r="N434">
            <v>287211268.01800001</v>
          </cell>
        </row>
        <row r="885">
          <cell r="F885">
            <v>719185112.53699994</v>
          </cell>
          <cell r="J885">
            <v>2678532.6979999999</v>
          </cell>
          <cell r="N885">
            <v>21308873.952999998</v>
          </cell>
        </row>
        <row r="1787">
          <cell r="F1787">
            <v>146143904</v>
          </cell>
          <cell r="J1787">
            <v>37894543.354000002</v>
          </cell>
          <cell r="N1787">
            <v>40292118.316</v>
          </cell>
        </row>
        <row r="1801">
          <cell r="F1801">
            <v>244945226.98299998</v>
          </cell>
          <cell r="J1801">
            <v>100766211.73</v>
          </cell>
          <cell r="N1801">
            <v>220240734.35500002</v>
          </cell>
        </row>
      </sheetData>
      <sheetData sheetId="4">
        <row r="432">
          <cell r="D432">
            <v>5711670</v>
          </cell>
        </row>
        <row r="434">
          <cell r="F434">
            <v>756146.07699999958</v>
          </cell>
          <cell r="J434">
            <v>229404.28599999999</v>
          </cell>
          <cell r="N434">
            <v>756146.07700000005</v>
          </cell>
        </row>
        <row r="885">
          <cell r="F885">
            <v>4242563.0329999998</v>
          </cell>
          <cell r="J885">
            <v>0</v>
          </cell>
          <cell r="N885">
            <v>29468.400000000001</v>
          </cell>
        </row>
        <row r="1787">
          <cell r="F1787">
            <v>0</v>
          </cell>
        </row>
        <row r="1801">
          <cell r="F1801">
            <v>436518.62800000003</v>
          </cell>
          <cell r="J1801">
            <v>413063.67199999996</v>
          </cell>
          <cell r="N1801">
            <v>430300.21500000003</v>
          </cell>
        </row>
      </sheetData>
      <sheetData sheetId="5">
        <row r="432">
          <cell r="D432">
            <v>52091269.899999999</v>
          </cell>
        </row>
        <row r="434">
          <cell r="F434">
            <v>6096173.7199999914</v>
          </cell>
          <cell r="J434">
            <v>5109594.5249999994</v>
          </cell>
          <cell r="N434">
            <v>6081323.7190000005</v>
          </cell>
        </row>
        <row r="885">
          <cell r="F885">
            <v>38370390.369999997</v>
          </cell>
          <cell r="J885">
            <v>1912261.1710000001</v>
          </cell>
          <cell r="N885">
            <v>5595895.8220000006</v>
          </cell>
        </row>
        <row r="1787">
          <cell r="F1787">
            <v>1439586</v>
          </cell>
          <cell r="J1787">
            <v>263663.69300000003</v>
          </cell>
          <cell r="N1787">
            <v>315814.00099999999</v>
          </cell>
        </row>
        <row r="1801">
          <cell r="F1801">
            <v>6179144.8780000014</v>
          </cell>
          <cell r="J1801">
            <v>3407443.2319999998</v>
          </cell>
          <cell r="N1801">
            <v>6132349.5600000005</v>
          </cell>
        </row>
      </sheetData>
      <sheetData sheetId="6">
        <row r="432">
          <cell r="D432">
            <v>144659577</v>
          </cell>
        </row>
        <row r="434">
          <cell r="F434">
            <v>39710826.059000015</v>
          </cell>
          <cell r="J434">
            <v>25443754.170000002</v>
          </cell>
          <cell r="N434">
            <v>39567878.160999998</v>
          </cell>
        </row>
        <row r="885">
          <cell r="F885">
            <v>79089324.863999993</v>
          </cell>
          <cell r="J885">
            <v>4465309.1770000001</v>
          </cell>
          <cell r="N885">
            <v>20377560.788000003</v>
          </cell>
        </row>
        <row r="1787">
          <cell r="F1787">
            <v>6593130</v>
          </cell>
          <cell r="J1787">
            <v>1030649.531</v>
          </cell>
          <cell r="N1787">
            <v>1030649.532</v>
          </cell>
        </row>
        <row r="1801">
          <cell r="F1801">
            <v>19266294.026999999</v>
          </cell>
          <cell r="J1801">
            <v>14928494.808</v>
          </cell>
          <cell r="N1801">
            <v>19168260.397</v>
          </cell>
        </row>
      </sheetData>
      <sheetData sheetId="7">
        <row r="432">
          <cell r="D432">
            <v>12368497</v>
          </cell>
        </row>
        <row r="434">
          <cell r="F434">
            <v>3795209.5199999996</v>
          </cell>
          <cell r="J434">
            <v>2432189.1720000003</v>
          </cell>
          <cell r="N434">
            <v>3782562.8530000001</v>
          </cell>
        </row>
        <row r="885">
          <cell r="F885">
            <v>6208978.6600000001</v>
          </cell>
          <cell r="J885">
            <v>122964.476</v>
          </cell>
          <cell r="N885">
            <v>2745892.3590000002</v>
          </cell>
        </row>
        <row r="1787">
          <cell r="F1787">
            <v>0</v>
          </cell>
        </row>
        <row r="1801">
          <cell r="F1801">
            <v>2119121.523</v>
          </cell>
          <cell r="J1801">
            <v>1641189.0969999998</v>
          </cell>
          <cell r="N1801">
            <v>2102034.2089999998</v>
          </cell>
        </row>
      </sheetData>
      <sheetData sheetId="8">
        <row r="432">
          <cell r="D432">
            <v>13701273</v>
          </cell>
        </row>
        <row r="434">
          <cell r="F434">
            <v>3484514.7110000011</v>
          </cell>
          <cell r="J434">
            <v>1874349.547</v>
          </cell>
          <cell r="N434">
            <v>3484514.7110000001</v>
          </cell>
        </row>
        <row r="885">
          <cell r="F885">
            <v>7436485.2889999989</v>
          </cell>
          <cell r="J885">
            <v>711992.35899999994</v>
          </cell>
          <cell r="N885">
            <v>2542591.9550000001</v>
          </cell>
        </row>
        <row r="1787">
          <cell r="F1787">
            <v>216442</v>
          </cell>
        </row>
        <row r="1801">
          <cell r="F1801">
            <v>1975390.1370000001</v>
          </cell>
          <cell r="J1801">
            <v>1570785.9110000001</v>
          </cell>
          <cell r="N1801">
            <v>1975390.1370000001</v>
          </cell>
        </row>
      </sheetData>
      <sheetData sheetId="9">
        <row r="432">
          <cell r="D432">
            <v>106106042</v>
          </cell>
        </row>
        <row r="434">
          <cell r="F434">
            <v>25914878.193000004</v>
          </cell>
          <cell r="J434">
            <v>18338055.338999998</v>
          </cell>
          <cell r="N434">
            <v>25893585.125</v>
          </cell>
        </row>
        <row r="885">
          <cell r="F885">
            <v>54738017.045999996</v>
          </cell>
          <cell r="J885">
            <v>2012643.6500000001</v>
          </cell>
          <cell r="N885">
            <v>9864786.6879999992</v>
          </cell>
        </row>
        <row r="1787">
          <cell r="F1787">
            <v>638741.25199999998</v>
          </cell>
          <cell r="J1787">
            <v>230184.45</v>
          </cell>
          <cell r="N1787">
            <v>638741.25199999998</v>
          </cell>
        </row>
        <row r="1801">
          <cell r="F1801">
            <v>24814405.320000004</v>
          </cell>
          <cell r="J1801">
            <v>15205385.326000001</v>
          </cell>
          <cell r="N1801">
            <v>24238236.298999999</v>
          </cell>
        </row>
      </sheetData>
      <sheetData sheetId="10">
        <row r="432">
          <cell r="D432">
            <v>3793000</v>
          </cell>
        </row>
        <row r="434">
          <cell r="F434">
            <v>1743784.696</v>
          </cell>
          <cell r="J434">
            <v>1274557.446</v>
          </cell>
          <cell r="N434">
            <v>1733779.996</v>
          </cell>
        </row>
        <row r="885">
          <cell r="F885">
            <v>1457215.304</v>
          </cell>
          <cell r="J885">
            <v>233160.61199999999</v>
          </cell>
          <cell r="N885">
            <v>577239.60399999993</v>
          </cell>
        </row>
        <row r="1787">
          <cell r="F1787">
            <v>70000</v>
          </cell>
          <cell r="J1787">
            <v>51550.341999999997</v>
          </cell>
          <cell r="N1787">
            <v>51550.341999999997</v>
          </cell>
        </row>
        <row r="1801">
          <cell r="F1801">
            <v>513578.44299999997</v>
          </cell>
          <cell r="J1801">
            <v>287364.56599999999</v>
          </cell>
          <cell r="N1801">
            <v>513574.16100000002</v>
          </cell>
        </row>
      </sheetData>
      <sheetData sheetId="11">
        <row r="432">
          <cell r="D432">
            <v>6480000</v>
          </cell>
        </row>
        <row r="434">
          <cell r="F434">
            <v>4665513.8130000001</v>
          </cell>
          <cell r="J434">
            <v>2904151.4849999999</v>
          </cell>
          <cell r="N434">
            <v>4662771.5869999994</v>
          </cell>
        </row>
        <row r="885">
          <cell r="F885">
            <v>1814486.1869999999</v>
          </cell>
          <cell r="J885">
            <v>165278.01999999999</v>
          </cell>
          <cell r="N885">
            <v>746411.47600000002</v>
          </cell>
        </row>
        <row r="1787">
          <cell r="F1787">
            <v>0</v>
          </cell>
        </row>
        <row r="1801">
          <cell r="F1801">
            <v>0</v>
          </cell>
          <cell r="J1801">
            <v>0</v>
          </cell>
          <cell r="N1801">
            <v>0</v>
          </cell>
        </row>
      </sheetData>
      <sheetData sheetId="12">
        <row r="432">
          <cell r="D432">
            <v>261874785</v>
          </cell>
        </row>
        <row r="434">
          <cell r="F434">
            <v>57333950.601999983</v>
          </cell>
          <cell r="J434">
            <v>25174514.277000006</v>
          </cell>
          <cell r="N434">
            <v>57249058.252000004</v>
          </cell>
        </row>
        <row r="885">
          <cell r="F885">
            <v>113724049.398</v>
          </cell>
          <cell r="J885">
            <v>6064567.7330000009</v>
          </cell>
          <cell r="N885">
            <v>39055301.305000007</v>
          </cell>
        </row>
        <row r="1787">
          <cell r="F1787">
            <v>20488452</v>
          </cell>
          <cell r="J1787">
            <v>5153482.9009999996</v>
          </cell>
          <cell r="N1787">
            <v>6619246.0710000005</v>
          </cell>
        </row>
        <row r="1801">
          <cell r="F1801">
            <v>59223209.737999998</v>
          </cell>
          <cell r="J1801">
            <v>38038004.238000005</v>
          </cell>
          <cell r="N1801">
            <v>58832983.684</v>
          </cell>
        </row>
      </sheetData>
      <sheetData sheetId="13">
        <row r="432">
          <cell r="D432">
            <v>22315264</v>
          </cell>
        </row>
        <row r="434">
          <cell r="F434">
            <v>6552174.7090000007</v>
          </cell>
          <cell r="J434">
            <v>4811789.7880000006</v>
          </cell>
          <cell r="N434">
            <v>6530890.7089999998</v>
          </cell>
        </row>
        <row r="885">
          <cell r="F885">
            <v>12447825.290999999</v>
          </cell>
          <cell r="J885">
            <v>23923.237000000001</v>
          </cell>
          <cell r="N885">
            <v>2246652.727</v>
          </cell>
        </row>
        <row r="1787">
          <cell r="F1787">
            <v>83022</v>
          </cell>
          <cell r="J1787">
            <v>41416.419000000002</v>
          </cell>
          <cell r="N1787">
            <v>41416.419000000002</v>
          </cell>
        </row>
        <row r="1801">
          <cell r="F1801">
            <v>2798784.247</v>
          </cell>
          <cell r="J1801">
            <v>1894057.1629999999</v>
          </cell>
          <cell r="N1801">
            <v>2786594.247</v>
          </cell>
        </row>
      </sheetData>
      <sheetData sheetId="14">
        <row r="432">
          <cell r="D432">
            <v>28649966.002999999</v>
          </cell>
        </row>
        <row r="434">
          <cell r="F434">
            <v>12765143.594000001</v>
          </cell>
          <cell r="J434">
            <v>9209361.8390000015</v>
          </cell>
          <cell r="N434">
            <v>12717903.836000001</v>
          </cell>
        </row>
        <row r="885">
          <cell r="F885">
            <v>15999156.458999999</v>
          </cell>
          <cell r="J885">
            <v>2652246.1159999999</v>
          </cell>
          <cell r="N885">
            <v>6459387.1189999999</v>
          </cell>
        </row>
        <row r="1787">
          <cell r="F1787">
            <v>0</v>
          </cell>
        </row>
        <row r="1801">
          <cell r="F1801">
            <v>510328.66500000004</v>
          </cell>
          <cell r="J1801">
            <v>500432.88800000004</v>
          </cell>
          <cell r="N1801">
            <v>505615.65199999994</v>
          </cell>
        </row>
      </sheetData>
      <sheetData sheetId="15">
        <row r="432">
          <cell r="D432">
            <v>5187296</v>
          </cell>
        </row>
        <row r="434">
          <cell r="F434">
            <v>1179378.3339999998</v>
          </cell>
          <cell r="J434">
            <v>673945.70200000005</v>
          </cell>
          <cell r="N434">
            <v>1179378.334</v>
          </cell>
        </row>
        <row r="885">
          <cell r="F885">
            <v>3727511.5020000003</v>
          </cell>
          <cell r="J885">
            <v>311098.08100000001</v>
          </cell>
          <cell r="N885">
            <v>1366089.3489999999</v>
          </cell>
        </row>
        <row r="1787">
          <cell r="F1787">
            <v>0</v>
          </cell>
        </row>
        <row r="1801">
          <cell r="F1801">
            <v>197254.91399999999</v>
          </cell>
          <cell r="J1801">
            <v>114854.914</v>
          </cell>
          <cell r="N1801">
            <v>197254.91399999999</v>
          </cell>
        </row>
      </sheetData>
      <sheetData sheetId="16">
        <row r="432">
          <cell r="D432">
            <v>20613000</v>
          </cell>
        </row>
        <row r="434">
          <cell r="F434">
            <v>9821121.2300000004</v>
          </cell>
          <cell r="J434">
            <v>6642040.2069999995</v>
          </cell>
          <cell r="N434">
            <v>9821121.2300000004</v>
          </cell>
        </row>
        <row r="885">
          <cell r="F885">
            <v>7325010.0360000003</v>
          </cell>
          <cell r="J885">
            <v>435979.04600000003</v>
          </cell>
          <cell r="N885">
            <v>3678767.355</v>
          </cell>
        </row>
        <row r="1787">
          <cell r="F1787">
            <v>210000</v>
          </cell>
          <cell r="J1787">
            <v>149228.217</v>
          </cell>
          <cell r="N1787">
            <v>209531.696</v>
          </cell>
        </row>
        <row r="1801">
          <cell r="F1801">
            <v>3256868.7340000002</v>
          </cell>
          <cell r="J1801">
            <v>2775173.4419999998</v>
          </cell>
          <cell r="N1801">
            <v>3213525.4299999997</v>
          </cell>
        </row>
      </sheetData>
      <sheetData sheetId="17">
        <row r="432">
          <cell r="D432">
            <v>23088211.009999998</v>
          </cell>
        </row>
        <row r="434">
          <cell r="F434">
            <v>6580974.5209999997</v>
          </cell>
          <cell r="J434">
            <v>3242005.8590000002</v>
          </cell>
          <cell r="N434">
            <v>6580974.5209999997</v>
          </cell>
        </row>
        <row r="885">
          <cell r="F885">
            <v>8919025.4789999984</v>
          </cell>
          <cell r="J885">
            <v>43566.591999999997</v>
          </cell>
          <cell r="N885">
            <v>3933973.7529999996</v>
          </cell>
        </row>
        <row r="1787">
          <cell r="F1787">
            <v>298911</v>
          </cell>
          <cell r="J1787">
            <v>18598.686000000002</v>
          </cell>
          <cell r="N1787">
            <v>18598.686000000002</v>
          </cell>
        </row>
        <row r="1801">
          <cell r="F1801">
            <v>4972684.4289999995</v>
          </cell>
          <cell r="J1801">
            <v>4084381.9839999997</v>
          </cell>
          <cell r="N1801">
            <v>4972684.4189999998</v>
          </cell>
        </row>
      </sheetData>
      <sheetData sheetId="18">
        <row r="432">
          <cell r="D432">
            <v>189839363</v>
          </cell>
        </row>
        <row r="434">
          <cell r="F434">
            <v>14805512.84799999</v>
          </cell>
          <cell r="J434">
            <v>4999792.8209999995</v>
          </cell>
          <cell r="N434">
            <v>14805441.434</v>
          </cell>
        </row>
        <row r="885">
          <cell r="F885">
            <v>127316461.92300001</v>
          </cell>
          <cell r="J885">
            <v>311719.32200000004</v>
          </cell>
          <cell r="N885">
            <v>2907667.5060000001</v>
          </cell>
        </row>
        <row r="1787">
          <cell r="F1787">
            <v>8705000</v>
          </cell>
          <cell r="J1787">
            <v>4241448.4749999996</v>
          </cell>
          <cell r="N1787">
            <v>4357037.0659999996</v>
          </cell>
        </row>
        <row r="1801">
          <cell r="F1801">
            <v>34935943.151000001</v>
          </cell>
          <cell r="J1801">
            <v>23617117.134000003</v>
          </cell>
          <cell r="N1801">
            <v>34877676.611000001</v>
          </cell>
        </row>
      </sheetData>
      <sheetData sheetId="19">
        <row r="432">
          <cell r="D432">
            <v>29611306</v>
          </cell>
        </row>
        <row r="434">
          <cell r="F434">
            <v>5482253.1140000001</v>
          </cell>
          <cell r="J434">
            <v>3824701.1629999997</v>
          </cell>
          <cell r="N434">
            <v>5482253.1140000001</v>
          </cell>
        </row>
        <row r="885">
          <cell r="F885">
            <v>16006898.164000001</v>
          </cell>
          <cell r="J885">
            <v>259172.90100000001</v>
          </cell>
          <cell r="N885">
            <v>1706296.6370000001</v>
          </cell>
        </row>
        <row r="1787">
          <cell r="F1787">
            <v>3272739</v>
          </cell>
          <cell r="J1787">
            <v>439216.33199999999</v>
          </cell>
          <cell r="N1787">
            <v>2024750.7930000001</v>
          </cell>
        </row>
        <row r="1801">
          <cell r="F1801">
            <v>4658381.5539999995</v>
          </cell>
          <cell r="J1801">
            <v>2385155.2970000003</v>
          </cell>
          <cell r="N1801">
            <v>4656812.2630000003</v>
          </cell>
        </row>
      </sheetData>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sheetName val="con1"/>
      <sheetName val="uni"/>
      <sheetName val="icon"/>
      <sheetName val="iuni"/>
      <sheetName val="Hoja5"/>
      <sheetName val="Hoja6"/>
      <sheetName val="Hoja7"/>
    </sheetNames>
    <sheetDataSet>
      <sheetData sheetId="0">
        <row r="320">
          <cell r="H320">
            <v>0</v>
          </cell>
        </row>
      </sheetData>
      <sheetData sheetId="1"/>
      <sheetData sheetId="2"/>
      <sheetData sheetId="3">
        <row r="10">
          <cell r="D10">
            <v>0</v>
          </cell>
        </row>
      </sheetData>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aud"/>
      <sheetName val="uni"/>
      <sheetName val="inguniv"/>
    </sheetNames>
    <sheetDataSet>
      <sheetData sheetId="0">
        <row r="432">
          <cell r="D432">
            <v>2635999.9810000001</v>
          </cell>
        </row>
        <row r="434">
          <cell r="F434">
            <v>0</v>
          </cell>
          <cell r="J434">
            <v>0</v>
          </cell>
          <cell r="N434">
            <v>0</v>
          </cell>
        </row>
        <row r="885">
          <cell r="F885">
            <v>1680000</v>
          </cell>
          <cell r="J885">
            <v>0</v>
          </cell>
          <cell r="N885">
            <v>0</v>
          </cell>
        </row>
        <row r="1787">
          <cell r="F1787">
            <v>0</v>
          </cell>
        </row>
        <row r="1801">
          <cell r="F1801">
            <v>610917.96200000006</v>
          </cell>
          <cell r="J1801">
            <v>578053.22399999993</v>
          </cell>
          <cell r="N1801">
            <v>610917.98100000003</v>
          </cell>
        </row>
      </sheetData>
      <sheetData sheetId="1"/>
      <sheetData sheetId="2">
        <row r="432">
          <cell r="D432">
            <v>65573582</v>
          </cell>
        </row>
        <row r="434">
          <cell r="F434">
            <v>2361387.8180000037</v>
          </cell>
          <cell r="J434">
            <v>1419668.0279999999</v>
          </cell>
          <cell r="N434">
            <v>2361248.7779999999</v>
          </cell>
        </row>
        <row r="885">
          <cell r="F885">
            <v>63210333.201999992</v>
          </cell>
          <cell r="J885">
            <v>108037.66500000001</v>
          </cell>
          <cell r="N885">
            <v>945687.48100000003</v>
          </cell>
        </row>
        <row r="1628">
          <cell r="F1628">
            <v>302130</v>
          </cell>
          <cell r="J1628">
            <v>198702.61</v>
          </cell>
          <cell r="N1628">
            <v>198702.61</v>
          </cell>
        </row>
        <row r="1787">
          <cell r="F1787">
            <v>0</v>
          </cell>
        </row>
        <row r="1801">
          <cell r="F1801">
            <v>0</v>
          </cell>
          <cell r="J1801">
            <v>0</v>
          </cell>
          <cell r="N1801">
            <v>0</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ab"/>
      <sheetName val="agu"/>
      <sheetName val="lot"/>
      <sheetName val="can"/>
      <sheetName val="met"/>
      <sheetName val="tra"/>
      <sheetName val="eru"/>
      <sheetName val="ingresos"/>
      <sheetName val="Hoja2"/>
      <sheetName val="geaa"/>
      <sheetName val="gagu"/>
      <sheetName val="gcan"/>
      <sheetName val="gmet"/>
      <sheetName val="glot"/>
      <sheetName val="gtra"/>
      <sheetName val="geru"/>
      <sheetName val="gastos"/>
      <sheetName val="resi"/>
      <sheetName val="resg"/>
      <sheetName val="Hoja1"/>
    </sheetNames>
    <sheetDataSet>
      <sheetData sheetId="0"/>
      <sheetData sheetId="1"/>
      <sheetData sheetId="2"/>
      <sheetData sheetId="3"/>
      <sheetData sheetId="4"/>
      <sheetData sheetId="5"/>
      <sheetData sheetId="6"/>
      <sheetData sheetId="7"/>
      <sheetData sheetId="8"/>
      <sheetData sheetId="9">
        <row r="432">
          <cell r="D432">
            <v>855049649.35000002</v>
          </cell>
        </row>
        <row r="434">
          <cell r="F434">
            <v>257659473.42900002</v>
          </cell>
          <cell r="J434">
            <v>20439472.4443</v>
          </cell>
          <cell r="N434">
            <v>257659473.426</v>
          </cell>
        </row>
        <row r="885">
          <cell r="F885">
            <v>221988797.72600001</v>
          </cell>
          <cell r="J885">
            <v>7317144.182</v>
          </cell>
          <cell r="N885">
            <v>42907658.702</v>
          </cell>
        </row>
        <row r="1628">
          <cell r="F1628">
            <v>149830678.43799999</v>
          </cell>
          <cell r="J1628">
            <v>0</v>
          </cell>
          <cell r="N1628">
            <v>34434034.881999999</v>
          </cell>
        </row>
        <row r="1800">
          <cell r="F1800">
            <v>457398822.83200002</v>
          </cell>
          <cell r="J1800">
            <v>201556748.252</v>
          </cell>
          <cell r="N1800">
            <v>451481277.38599998</v>
          </cell>
        </row>
      </sheetData>
      <sheetData sheetId="10">
        <row r="432">
          <cell r="D432">
            <v>0</v>
          </cell>
        </row>
        <row r="434">
          <cell r="F434">
            <v>0</v>
          </cell>
          <cell r="J434">
            <v>0</v>
          </cell>
          <cell r="N434">
            <v>0</v>
          </cell>
        </row>
        <row r="885">
          <cell r="F885">
            <v>0</v>
          </cell>
          <cell r="J885">
            <v>0</v>
          </cell>
          <cell r="N885">
            <v>0</v>
          </cell>
        </row>
        <row r="1800">
          <cell r="F1800">
            <v>0</v>
          </cell>
        </row>
      </sheetData>
      <sheetData sheetId="11">
        <row r="432">
          <cell r="D432">
            <v>4000000</v>
          </cell>
        </row>
        <row r="434">
          <cell r="F434">
            <v>865876.91099999985</v>
          </cell>
          <cell r="J434">
            <v>776945.81799999997</v>
          </cell>
          <cell r="N434">
            <v>865876.91099999996</v>
          </cell>
        </row>
        <row r="885">
          <cell r="F885">
            <v>3634123.0889999997</v>
          </cell>
          <cell r="J885">
            <v>133850.5</v>
          </cell>
          <cell r="N885">
            <v>655104</v>
          </cell>
        </row>
        <row r="1800">
          <cell r="F1800">
            <v>425912.81199999998</v>
          </cell>
          <cell r="J1800">
            <v>423032.81199999998</v>
          </cell>
          <cell r="N1800">
            <v>425912.81199999998</v>
          </cell>
        </row>
      </sheetData>
      <sheetData sheetId="12">
        <row r="432">
          <cell r="D432">
            <v>78056818.034000009</v>
          </cell>
        </row>
        <row r="434">
          <cell r="F434">
            <v>4963868.7250000015</v>
          </cell>
          <cell r="J434">
            <v>3756191.852</v>
          </cell>
          <cell r="N434">
            <v>4949682.1510000005</v>
          </cell>
        </row>
        <row r="885">
          <cell r="F885">
            <v>26713905.491999999</v>
          </cell>
          <cell r="J885">
            <v>1026699.481</v>
          </cell>
          <cell r="N885">
            <v>2653174.8149999995</v>
          </cell>
        </row>
        <row r="1800">
          <cell r="F1800">
            <v>12010343.987</v>
          </cell>
          <cell r="J1800">
            <v>8330839.71</v>
          </cell>
          <cell r="N1800">
            <v>11896066.524</v>
          </cell>
        </row>
      </sheetData>
      <sheetData sheetId="13">
        <row r="432">
          <cell r="D432">
            <v>7419069.2829999998</v>
          </cell>
        </row>
        <row r="434">
          <cell r="F434">
            <v>55097.435000000056</v>
          </cell>
          <cell r="J434">
            <v>55097.434999999998</v>
          </cell>
          <cell r="N434">
            <v>55097.434999999998</v>
          </cell>
        </row>
        <row r="885">
          <cell r="F885">
            <v>944902.56499999994</v>
          </cell>
          <cell r="J885">
            <v>0</v>
          </cell>
          <cell r="N885">
            <v>0</v>
          </cell>
        </row>
        <row r="1628">
          <cell r="F1628">
            <v>6659069.2829999998</v>
          </cell>
          <cell r="J1628">
            <v>4449789.9330000002</v>
          </cell>
          <cell r="N1628">
            <v>4449789.9330000002</v>
          </cell>
        </row>
        <row r="1800">
          <cell r="F1800">
            <v>0</v>
          </cell>
        </row>
      </sheetData>
      <sheetData sheetId="14">
        <row r="432">
          <cell r="D432">
            <v>1333691324.1529999</v>
          </cell>
        </row>
        <row r="434">
          <cell r="F434">
            <v>480060255.78300005</v>
          </cell>
          <cell r="J434">
            <v>109032645.653</v>
          </cell>
          <cell r="N434">
            <v>480060255.78199995</v>
          </cell>
        </row>
        <row r="885">
          <cell r="F885">
            <v>796030434.81700003</v>
          </cell>
          <cell r="J885">
            <v>27287925.335000001</v>
          </cell>
          <cell r="N885">
            <v>46039590.195999995</v>
          </cell>
        </row>
        <row r="1628">
          <cell r="F1628">
            <v>2000000</v>
          </cell>
          <cell r="J1628">
            <v>0</v>
          </cell>
        </row>
        <row r="1800">
          <cell r="F1800">
            <v>0</v>
          </cell>
        </row>
      </sheetData>
      <sheetData sheetId="15">
        <row r="432">
          <cell r="D432">
            <v>12818548.259</v>
          </cell>
        </row>
        <row r="434">
          <cell r="F434">
            <v>4156508.6780000003</v>
          </cell>
          <cell r="J434">
            <v>2005369.51</v>
          </cell>
          <cell r="N434">
            <v>4118157.091</v>
          </cell>
        </row>
        <row r="885">
          <cell r="F885">
            <v>3710280.8879999998</v>
          </cell>
          <cell r="J885">
            <v>1075686.736</v>
          </cell>
          <cell r="N885">
            <v>1392991.4430000002</v>
          </cell>
        </row>
        <row r="1800">
          <cell r="F1800">
            <v>4877459.1689999998</v>
          </cell>
          <cell r="J1800">
            <v>1083070.3419999999</v>
          </cell>
          <cell r="N1800">
            <v>4690113.8990000002</v>
          </cell>
        </row>
      </sheetData>
      <sheetData sheetId="16">
        <row r="69">
          <cell r="N69">
            <v>142870673.39300001</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aa"/>
      <sheetName val="iagu"/>
      <sheetName val="ican"/>
      <sheetName val="ilot"/>
      <sheetName val="itra"/>
      <sheetName val="imet"/>
      <sheetName val="ieru"/>
      <sheetName val="ing"/>
      <sheetName val="eaab"/>
      <sheetName val="agua"/>
      <sheetName val="cana"/>
      <sheetName val="lote"/>
      <sheetName val="tran"/>
      <sheetName val="metr"/>
      <sheetName val="eru"/>
      <sheetName val="gas"/>
      <sheetName val="ingresos"/>
      <sheetName val="gastos"/>
    </sheetNames>
    <sheetDataSet>
      <sheetData sheetId="0"/>
      <sheetData sheetId="1"/>
      <sheetData sheetId="2"/>
      <sheetData sheetId="3"/>
      <sheetData sheetId="4"/>
      <sheetData sheetId="5"/>
      <sheetData sheetId="6"/>
      <sheetData sheetId="7"/>
      <sheetData sheetId="8"/>
      <sheetData sheetId="9">
        <row r="320">
          <cell r="H320">
            <v>0</v>
          </cell>
        </row>
      </sheetData>
      <sheetData sheetId="10">
        <row r="320">
          <cell r="H320">
            <v>0</v>
          </cell>
        </row>
      </sheetData>
      <sheetData sheetId="11">
        <row r="320">
          <cell r="H320">
            <v>0</v>
          </cell>
        </row>
      </sheetData>
      <sheetData sheetId="12">
        <row r="320">
          <cell r="H320">
            <v>0</v>
          </cell>
        </row>
      </sheetData>
      <sheetData sheetId="13">
        <row r="320">
          <cell r="H320">
            <v>0</v>
          </cell>
        </row>
      </sheetData>
      <sheetData sheetId="14">
        <row r="320">
          <cell r="H320">
            <v>0</v>
          </cell>
        </row>
      </sheetData>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
      <sheetName val="vi1"/>
      <sheetName val="tun"/>
      <sheetName val="ken"/>
      <sheetName val="sim"/>
      <sheetName val="cla"/>
      <sheetName val="bos"/>
      <sheetName val="eng"/>
      <sheetName val="fon"/>
      <sheetName val="mei"/>
      <sheetName val="me1"/>
      <sheetName val="bla"/>
      <sheetName val="cha"/>
      <sheetName val="sub"/>
      <sheetName val="tuj"/>
      <sheetName val="usa"/>
      <sheetName val="usm"/>
      <sheetName val="naz"/>
      <sheetName val="pab"/>
      <sheetName val="cri"/>
      <sheetName val="vis"/>
      <sheetName val="cen"/>
      <sheetName val="sur"/>
      <sheetName val="raf"/>
      <sheetName val="cons"/>
      <sheetName val="gastos"/>
    </sheetNames>
    <sheetDataSet>
      <sheetData sheetId="0">
        <row r="320">
          <cell r="H320">
            <v>0</v>
          </cell>
        </row>
      </sheetData>
      <sheetData sheetId="1"/>
      <sheetData sheetId="2">
        <row r="320">
          <cell r="H320">
            <v>0</v>
          </cell>
        </row>
      </sheetData>
      <sheetData sheetId="3">
        <row r="320">
          <cell r="H320">
            <v>0</v>
          </cell>
        </row>
      </sheetData>
      <sheetData sheetId="4">
        <row r="320">
          <cell r="H320">
            <v>0</v>
          </cell>
        </row>
      </sheetData>
      <sheetData sheetId="5">
        <row r="320">
          <cell r="H320">
            <v>0</v>
          </cell>
        </row>
      </sheetData>
      <sheetData sheetId="6">
        <row r="320">
          <cell r="H320">
            <v>0</v>
          </cell>
        </row>
      </sheetData>
      <sheetData sheetId="7">
        <row r="320">
          <cell r="H320">
            <v>0</v>
          </cell>
        </row>
      </sheetData>
      <sheetData sheetId="8">
        <row r="320">
          <cell r="H320">
            <v>0</v>
          </cell>
        </row>
      </sheetData>
      <sheetData sheetId="9">
        <row r="320">
          <cell r="H320">
            <v>0</v>
          </cell>
        </row>
      </sheetData>
      <sheetData sheetId="10"/>
      <sheetData sheetId="11">
        <row r="320">
          <cell r="H320">
            <v>0</v>
          </cell>
        </row>
      </sheetData>
      <sheetData sheetId="12">
        <row r="320">
          <cell r="H320">
            <v>0</v>
          </cell>
        </row>
      </sheetData>
      <sheetData sheetId="13">
        <row r="320">
          <cell r="H320">
            <v>0</v>
          </cell>
        </row>
      </sheetData>
      <sheetData sheetId="14">
        <row r="320">
          <cell r="H320">
            <v>0</v>
          </cell>
        </row>
      </sheetData>
      <sheetData sheetId="15">
        <row r="320">
          <cell r="H320">
            <v>0</v>
          </cell>
        </row>
      </sheetData>
      <sheetData sheetId="16">
        <row r="320">
          <cell r="H320">
            <v>0</v>
          </cell>
        </row>
      </sheetData>
      <sheetData sheetId="17">
        <row r="320">
          <cell r="H320">
            <v>0</v>
          </cell>
        </row>
      </sheetData>
      <sheetData sheetId="18">
        <row r="320">
          <cell r="H320">
            <v>0</v>
          </cell>
        </row>
      </sheetData>
      <sheetData sheetId="19">
        <row r="320">
          <cell r="H320">
            <v>0</v>
          </cell>
        </row>
      </sheetData>
      <sheetData sheetId="20">
        <row r="320">
          <cell r="H320">
            <v>0</v>
          </cell>
        </row>
      </sheetData>
      <sheetData sheetId="21">
        <row r="320">
          <cell r="H320">
            <v>0</v>
          </cell>
        </row>
      </sheetData>
      <sheetData sheetId="22">
        <row r="320">
          <cell r="H320">
            <v>0</v>
          </cell>
        </row>
      </sheetData>
      <sheetData sheetId="23">
        <row r="320">
          <cell r="H320">
            <v>0</v>
          </cell>
        </row>
      </sheetData>
      <sheetData sheetId="24">
        <row r="908">
          <cell r="N908">
            <v>0</v>
          </cell>
        </row>
      </sheetData>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2"/>
      <sheetName val="403"/>
      <sheetName val="4032"/>
      <sheetName val="404"/>
      <sheetName val="405"/>
      <sheetName val="406"/>
      <sheetName val="407"/>
      <sheetName val="408"/>
      <sheetName val="409"/>
      <sheetName val="410"/>
      <sheetName val="411"/>
      <sheetName val="4112"/>
      <sheetName val="412"/>
      <sheetName val="413"/>
      <sheetName val="414"/>
      <sheetName val="415"/>
      <sheetName val="416"/>
      <sheetName val="417"/>
      <sheetName val="418"/>
      <sheetName val="419"/>
      <sheetName val="420"/>
      <sheetName val="421"/>
      <sheetName val="422"/>
      <sheetName val="423"/>
      <sheetName val="cons"/>
      <sheetName val="resu"/>
      <sheetName val="Hoja1"/>
    </sheetNames>
    <sheetDataSet>
      <sheetData sheetId="0">
        <row r="432">
          <cell r="D432">
            <v>529000</v>
          </cell>
        </row>
        <row r="434">
          <cell r="F434">
            <v>0</v>
          </cell>
          <cell r="J434">
            <v>0</v>
          </cell>
          <cell r="N434">
            <v>0</v>
          </cell>
        </row>
        <row r="885">
          <cell r="F885">
            <v>0</v>
          </cell>
          <cell r="J885">
            <v>0</v>
          </cell>
          <cell r="N885">
            <v>0</v>
          </cell>
        </row>
        <row r="1800">
          <cell r="F1800">
            <v>999791.598</v>
          </cell>
          <cell r="J1800">
            <v>514836.95199999999</v>
          </cell>
          <cell r="N1800">
            <v>999791.598</v>
          </cell>
        </row>
      </sheetData>
      <sheetData sheetId="1">
        <row r="432">
          <cell r="D432">
            <v>0</v>
          </cell>
        </row>
        <row r="434">
          <cell r="F434">
            <v>0</v>
          </cell>
          <cell r="J434">
            <v>0</v>
          </cell>
          <cell r="N434">
            <v>0</v>
          </cell>
        </row>
        <row r="885">
          <cell r="F885">
            <v>700000</v>
          </cell>
          <cell r="J885">
            <v>0</v>
          </cell>
          <cell r="N885">
            <v>0</v>
          </cell>
        </row>
        <row r="1800">
          <cell r="F1800">
            <v>0</v>
          </cell>
        </row>
      </sheetData>
      <sheetData sheetId="2"/>
      <sheetData sheetId="3">
        <row r="432">
          <cell r="D432">
            <v>1300000</v>
          </cell>
        </row>
        <row r="434">
          <cell r="F434">
            <v>70484.782000000007</v>
          </cell>
          <cell r="J434">
            <v>41757.805999999997</v>
          </cell>
          <cell r="N434">
            <v>70484.782000000007</v>
          </cell>
        </row>
        <row r="885">
          <cell r="F885">
            <v>0</v>
          </cell>
          <cell r="J885">
            <v>0</v>
          </cell>
          <cell r="N885">
            <v>0</v>
          </cell>
        </row>
        <row r="1800">
          <cell r="F1800">
            <v>865000</v>
          </cell>
        </row>
      </sheetData>
      <sheetData sheetId="4">
        <row r="432">
          <cell r="D432">
            <v>1276000</v>
          </cell>
        </row>
        <row r="434">
          <cell r="F434">
            <v>0</v>
          </cell>
          <cell r="J434">
            <v>0</v>
          </cell>
          <cell r="N434">
            <v>0</v>
          </cell>
        </row>
        <row r="885">
          <cell r="F885">
            <v>1027138.476</v>
          </cell>
          <cell r="J885">
            <v>0</v>
          </cell>
          <cell r="N885">
            <v>0</v>
          </cell>
        </row>
        <row r="1800">
          <cell r="F1800">
            <v>1107065.128</v>
          </cell>
          <cell r="J1800">
            <v>480716.147</v>
          </cell>
          <cell r="N1800">
            <v>1106891.128</v>
          </cell>
        </row>
      </sheetData>
      <sheetData sheetId="5">
        <row r="432">
          <cell r="D432">
            <v>1983000</v>
          </cell>
        </row>
        <row r="434">
          <cell r="F434">
            <v>174115.38300000003</v>
          </cell>
          <cell r="J434">
            <v>33729.271999999997</v>
          </cell>
          <cell r="N434">
            <v>174115.383</v>
          </cell>
        </row>
        <row r="885">
          <cell r="F885">
            <v>2408821.0959999999</v>
          </cell>
          <cell r="J885">
            <v>0</v>
          </cell>
          <cell r="N885">
            <v>0</v>
          </cell>
        </row>
        <row r="1800">
          <cell r="F1800">
            <v>378871.625</v>
          </cell>
          <cell r="J1800">
            <v>138237.076</v>
          </cell>
          <cell r="N1800">
            <v>378871.625</v>
          </cell>
        </row>
      </sheetData>
      <sheetData sheetId="6">
        <row r="432">
          <cell r="D432">
            <v>686000</v>
          </cell>
        </row>
        <row r="434">
          <cell r="F434">
            <v>0</v>
          </cell>
          <cell r="J434">
            <v>0</v>
          </cell>
          <cell r="N434">
            <v>0</v>
          </cell>
        </row>
        <row r="885">
          <cell r="F885">
            <v>383141.43400000001</v>
          </cell>
          <cell r="J885">
            <v>0</v>
          </cell>
          <cell r="N885">
            <v>0</v>
          </cell>
        </row>
        <row r="1800">
          <cell r="F1800">
            <v>703527.924</v>
          </cell>
          <cell r="J1800">
            <v>460980.13400000002</v>
          </cell>
          <cell r="N1800">
            <v>470698.29399999999</v>
          </cell>
        </row>
      </sheetData>
      <sheetData sheetId="7">
        <row r="432">
          <cell r="D432">
            <v>34574000</v>
          </cell>
        </row>
        <row r="434">
          <cell r="F434">
            <v>1586.7999999970198</v>
          </cell>
          <cell r="J434">
            <v>49.3</v>
          </cell>
          <cell r="N434">
            <v>1586.8</v>
          </cell>
        </row>
        <row r="885">
          <cell r="F885">
            <v>33895782.116000004</v>
          </cell>
          <cell r="J885">
            <v>0</v>
          </cell>
          <cell r="N885">
            <v>0</v>
          </cell>
        </row>
        <row r="1800">
          <cell r="F1800">
            <v>1341509.024</v>
          </cell>
          <cell r="J1800">
            <v>126222.21</v>
          </cell>
          <cell r="N1800">
            <v>126222.21</v>
          </cell>
        </row>
      </sheetData>
      <sheetData sheetId="8">
        <row r="432">
          <cell r="D432">
            <v>0</v>
          </cell>
        </row>
        <row r="434">
          <cell r="F434">
            <v>0</v>
          </cell>
          <cell r="J434">
            <v>0</v>
          </cell>
          <cell r="N434">
            <v>0</v>
          </cell>
        </row>
        <row r="885">
          <cell r="F885">
            <v>0</v>
          </cell>
          <cell r="J885">
            <v>0</v>
          </cell>
          <cell r="N885">
            <v>0</v>
          </cell>
        </row>
        <row r="1800">
          <cell r="F1800">
            <v>32876.349000000002</v>
          </cell>
        </row>
      </sheetData>
      <sheetData sheetId="9">
        <row r="432">
          <cell r="D432">
            <v>1550000</v>
          </cell>
        </row>
        <row r="434">
          <cell r="F434">
            <v>1660000</v>
          </cell>
          <cell r="J434">
            <v>1033453.089</v>
          </cell>
          <cell r="N434">
            <v>1530000</v>
          </cell>
        </row>
        <row r="885">
          <cell r="F885">
            <v>0</v>
          </cell>
          <cell r="J885">
            <v>0</v>
          </cell>
          <cell r="N885">
            <v>0</v>
          </cell>
        </row>
        <row r="1800">
          <cell r="F1800">
            <v>2607362.648</v>
          </cell>
          <cell r="J1800">
            <v>2607362.64</v>
          </cell>
          <cell r="N1800">
            <v>2607362.648</v>
          </cell>
        </row>
      </sheetData>
      <sheetData sheetId="10">
        <row r="432">
          <cell r="D432">
            <v>720000</v>
          </cell>
        </row>
        <row r="434">
          <cell r="F434">
            <v>0</v>
          </cell>
          <cell r="J434">
            <v>0</v>
          </cell>
          <cell r="N434">
            <v>0</v>
          </cell>
        </row>
        <row r="885">
          <cell r="F885">
            <v>25000</v>
          </cell>
          <cell r="J885">
            <v>0</v>
          </cell>
          <cell r="N885">
            <v>0</v>
          </cell>
        </row>
        <row r="1800">
          <cell r="F1800">
            <v>6575102.2910000002</v>
          </cell>
          <cell r="J1800">
            <v>92932.82</v>
          </cell>
          <cell r="N1800">
            <v>6575102.2910000002</v>
          </cell>
        </row>
      </sheetData>
      <sheetData sheetId="11"/>
      <sheetData sheetId="12">
        <row r="432">
          <cell r="D432">
            <v>560000</v>
          </cell>
        </row>
        <row r="434">
          <cell r="F434">
            <v>0</v>
          </cell>
          <cell r="J434">
            <v>0</v>
          </cell>
          <cell r="N434">
            <v>0</v>
          </cell>
        </row>
        <row r="885">
          <cell r="F885">
            <v>0</v>
          </cell>
          <cell r="J885">
            <v>0</v>
          </cell>
          <cell r="N885">
            <v>0</v>
          </cell>
        </row>
        <row r="1800">
          <cell r="F1800">
            <v>820610.40299999993</v>
          </cell>
          <cell r="J1800">
            <v>33961.563999999998</v>
          </cell>
          <cell r="N1800">
            <v>365857.011</v>
          </cell>
        </row>
      </sheetData>
      <sheetData sheetId="13">
        <row r="432">
          <cell r="D432">
            <v>120000</v>
          </cell>
        </row>
        <row r="434">
          <cell r="F434">
            <v>0</v>
          </cell>
          <cell r="J434">
            <v>0</v>
          </cell>
          <cell r="N434">
            <v>0</v>
          </cell>
        </row>
        <row r="885">
          <cell r="F885">
            <v>892859.1</v>
          </cell>
          <cell r="J885">
            <v>0</v>
          </cell>
          <cell r="N885">
            <v>0</v>
          </cell>
        </row>
        <row r="1800">
          <cell r="F1800">
            <v>115875.94500000001</v>
          </cell>
          <cell r="J1800">
            <v>86940.945000000007</v>
          </cell>
          <cell r="N1800">
            <v>86940.945000000007</v>
          </cell>
        </row>
      </sheetData>
      <sheetData sheetId="14">
        <row r="432">
          <cell r="D432">
            <v>520000</v>
          </cell>
        </row>
        <row r="434">
          <cell r="F434">
            <v>0</v>
          </cell>
          <cell r="J434">
            <v>0</v>
          </cell>
          <cell r="N434">
            <v>0</v>
          </cell>
        </row>
        <row r="885">
          <cell r="F885">
            <v>3189833.4349999996</v>
          </cell>
          <cell r="J885">
            <v>0</v>
          </cell>
          <cell r="N885">
            <v>0</v>
          </cell>
        </row>
        <row r="1800">
          <cell r="F1800">
            <v>2037009.1869999999</v>
          </cell>
          <cell r="J1800">
            <v>616807.89500000002</v>
          </cell>
          <cell r="N1800">
            <v>2033809.1839999999</v>
          </cell>
        </row>
      </sheetData>
      <sheetData sheetId="15">
        <row r="432">
          <cell r="D432">
            <v>52000</v>
          </cell>
        </row>
        <row r="434">
          <cell r="F434">
            <v>281958.011</v>
          </cell>
          <cell r="J434">
            <v>254710.652</v>
          </cell>
          <cell r="N434">
            <v>281958.011</v>
          </cell>
        </row>
        <row r="885">
          <cell r="F885">
            <v>1112041.9890000001</v>
          </cell>
          <cell r="J885">
            <v>0</v>
          </cell>
          <cell r="N885">
            <v>0</v>
          </cell>
        </row>
        <row r="1800">
          <cell r="F1800">
            <v>5153.9599999999991</v>
          </cell>
          <cell r="J1800">
            <v>5153.96</v>
          </cell>
          <cell r="N1800">
            <v>5153.96</v>
          </cell>
        </row>
      </sheetData>
      <sheetData sheetId="16">
        <row r="432">
          <cell r="D432">
            <v>0</v>
          </cell>
        </row>
        <row r="434">
          <cell r="F434">
            <v>0</v>
          </cell>
          <cell r="J434">
            <v>0</v>
          </cell>
          <cell r="N434">
            <v>0</v>
          </cell>
        </row>
        <row r="885">
          <cell r="F885">
            <v>0</v>
          </cell>
          <cell r="J885">
            <v>0</v>
          </cell>
          <cell r="N885">
            <v>0</v>
          </cell>
        </row>
        <row r="1800">
          <cell r="F1800">
            <v>0</v>
          </cell>
        </row>
      </sheetData>
      <sheetData sheetId="17">
        <row r="432">
          <cell r="D432">
            <v>200000</v>
          </cell>
        </row>
        <row r="434">
          <cell r="F434">
            <v>160000</v>
          </cell>
          <cell r="J434">
            <v>120000</v>
          </cell>
          <cell r="N434">
            <v>160000</v>
          </cell>
        </row>
        <row r="885">
          <cell r="F885">
            <v>1050000</v>
          </cell>
          <cell r="J885">
            <v>0</v>
          </cell>
          <cell r="N885">
            <v>0</v>
          </cell>
        </row>
        <row r="1800">
          <cell r="F1800">
            <v>475438.11800000002</v>
          </cell>
          <cell r="J1800">
            <v>352720.43199999997</v>
          </cell>
          <cell r="N1800">
            <v>475438.11800000002</v>
          </cell>
        </row>
      </sheetData>
      <sheetData sheetId="18">
        <row r="432">
          <cell r="D432">
            <v>33393000</v>
          </cell>
        </row>
        <row r="434">
          <cell r="F434">
            <v>297462.3200000003</v>
          </cell>
          <cell r="J434">
            <v>208576.55</v>
          </cell>
          <cell r="N434">
            <v>297462.32</v>
          </cell>
        </row>
        <row r="885">
          <cell r="F885">
            <v>33510057.158</v>
          </cell>
          <cell r="J885">
            <v>0</v>
          </cell>
          <cell r="N885">
            <v>0</v>
          </cell>
        </row>
        <row r="1800">
          <cell r="F1800">
            <v>428465.79200000002</v>
          </cell>
          <cell r="J1800">
            <v>165501.29</v>
          </cell>
          <cell r="N1800">
            <v>426797</v>
          </cell>
        </row>
      </sheetData>
      <sheetData sheetId="19">
        <row r="432">
          <cell r="D432">
            <v>795000</v>
          </cell>
        </row>
        <row r="434">
          <cell r="F434">
            <v>150832.03899999999</v>
          </cell>
          <cell r="J434">
            <v>60332.815000000002</v>
          </cell>
          <cell r="N434">
            <v>150832.03899999999</v>
          </cell>
        </row>
        <row r="885">
          <cell r="F885">
            <v>536669.69900000002</v>
          </cell>
          <cell r="J885">
            <v>0</v>
          </cell>
          <cell r="N885">
            <v>0</v>
          </cell>
        </row>
        <row r="1800">
          <cell r="F1800">
            <v>107498.262</v>
          </cell>
          <cell r="J1800">
            <v>10420.821</v>
          </cell>
          <cell r="N1800">
            <v>107498.262</v>
          </cell>
        </row>
      </sheetData>
      <sheetData sheetId="20">
        <row r="434">
          <cell r="F434">
            <v>1041704.088</v>
          </cell>
          <cell r="J434">
            <v>1008284.4340000001</v>
          </cell>
          <cell r="N434">
            <v>1041704.088</v>
          </cell>
        </row>
        <row r="885">
          <cell r="F885">
            <v>2358295.912</v>
          </cell>
          <cell r="J885">
            <v>129403.281</v>
          </cell>
          <cell r="N885">
            <v>163248.24900000001</v>
          </cell>
        </row>
        <row r="1800">
          <cell r="F1800">
            <v>263031.88500000001</v>
          </cell>
          <cell r="J1800">
            <v>242095.81700000001</v>
          </cell>
          <cell r="N1800">
            <v>263031.88500000001</v>
          </cell>
        </row>
      </sheetData>
      <sheetData sheetId="21">
        <row r="432">
          <cell r="D432">
            <v>0</v>
          </cell>
        </row>
        <row r="434">
          <cell r="F434">
            <v>717000</v>
          </cell>
          <cell r="J434">
            <v>11880.28</v>
          </cell>
          <cell r="N434">
            <v>11880.28</v>
          </cell>
        </row>
        <row r="885">
          <cell r="F885">
            <v>705119.72</v>
          </cell>
          <cell r="J885">
            <v>0</v>
          </cell>
          <cell r="N885">
            <v>657.37199999999996</v>
          </cell>
        </row>
        <row r="1800">
          <cell r="F1800">
            <v>772663.83400000003</v>
          </cell>
          <cell r="J1800">
            <v>62770.080999999998</v>
          </cell>
          <cell r="N1800">
            <v>771713.82700000005</v>
          </cell>
        </row>
      </sheetData>
      <sheetData sheetId="22">
        <row r="432">
          <cell r="D432">
            <v>1228000</v>
          </cell>
        </row>
        <row r="434">
          <cell r="F434">
            <v>74872.849999999977</v>
          </cell>
          <cell r="J434">
            <v>74872.850000000006</v>
          </cell>
          <cell r="N434">
            <v>74872.850000000006</v>
          </cell>
        </row>
        <row r="885">
          <cell r="F885">
            <v>865127.15</v>
          </cell>
          <cell r="J885">
            <v>0</v>
          </cell>
          <cell r="N885">
            <v>0</v>
          </cell>
        </row>
        <row r="1800">
          <cell r="F1800">
            <v>612911.54200000002</v>
          </cell>
          <cell r="J1800">
            <v>338443.935</v>
          </cell>
          <cell r="N1800">
            <v>612911.54200000002</v>
          </cell>
        </row>
      </sheetData>
      <sheetData sheetId="23">
        <row r="432">
          <cell r="D432">
            <v>349000</v>
          </cell>
        </row>
        <row r="434">
          <cell r="F434">
            <v>0</v>
          </cell>
          <cell r="J434">
            <v>0</v>
          </cell>
          <cell r="N434">
            <v>0</v>
          </cell>
        </row>
        <row r="885">
          <cell r="F885">
            <v>106430</v>
          </cell>
          <cell r="J885">
            <v>0</v>
          </cell>
          <cell r="N885">
            <v>0</v>
          </cell>
        </row>
        <row r="1800">
          <cell r="F1800">
            <v>647586.24800000002</v>
          </cell>
          <cell r="J1800">
            <v>471890.87199999997</v>
          </cell>
          <cell r="N1800">
            <v>647586.24800000002</v>
          </cell>
        </row>
      </sheetData>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contraloriagen.gov.co/documents/10136/29244829/Ley+5+de+1992.pdf/ce70ba37-55f9-4878-8e30-948dc1cdf1cd" TargetMode="External"/><Relationship Id="rId13" Type="http://schemas.openxmlformats.org/officeDocument/2006/relationships/hyperlink" Target="http://www.contraloriagen.gov.co/web/guest/herramientas/normatividad" TargetMode="External"/><Relationship Id="rId18" Type="http://schemas.openxmlformats.org/officeDocument/2006/relationships/hyperlink" Target="http://www.contraloriagen.gov.co/web/guest/herramientas/normatividad" TargetMode="External"/><Relationship Id="rId26" Type="http://schemas.openxmlformats.org/officeDocument/2006/relationships/hyperlink" Target="http://www.dafp.gov.co/leyes/D0735001.HTM" TargetMode="External"/><Relationship Id="rId3" Type="http://schemas.openxmlformats.org/officeDocument/2006/relationships/hyperlink" Target="http://www.contraloriagen.gov.co/documents/10136/29244829/Ley+51+de+1990.pdf/29ca5432-4a5d-4ce5-9e28-f898d46e7385" TargetMode="External"/><Relationship Id="rId21" Type="http://schemas.openxmlformats.org/officeDocument/2006/relationships/hyperlink" Target="http://www.contraloriagen.gov.co/web/guest/herramientas/normatividad" TargetMode="External"/><Relationship Id="rId7" Type="http://schemas.openxmlformats.org/officeDocument/2006/relationships/hyperlink" Target="http://www.contraloriagen.gov.co/documents/10136/29244829/Ley+533+de+1999.pdf/ed368204-1356-4d8e-9892-7f56d100a3fb" TargetMode="External"/><Relationship Id="rId12" Type="http://schemas.openxmlformats.org/officeDocument/2006/relationships/hyperlink" Target="http://www.contraloriagen.gov.co/documents/10136/29244829/Ley+42+de+1993.pdf/7f2db300-19d5-4240-b81d-7d1791abb781" TargetMode="External"/><Relationship Id="rId17" Type="http://schemas.openxmlformats.org/officeDocument/2006/relationships/hyperlink" Target="http://www.contraloriagen.gov.co/web/guest/herramientas/normatividad" TargetMode="External"/><Relationship Id="rId25" Type="http://schemas.openxmlformats.org/officeDocument/2006/relationships/hyperlink" Target="http://www.contraloriagen.gov.co/web/guest/herramientas/normatividad" TargetMode="External"/><Relationship Id="rId2" Type="http://schemas.openxmlformats.org/officeDocument/2006/relationships/hyperlink" Target="http://www.contraloriagen.gov.co/documents/10136/29244829/Ley+42+de+1993.pdf/7f2db300-19d5-4240-b81d-7d1791abb781" TargetMode="External"/><Relationship Id="rId16" Type="http://schemas.openxmlformats.org/officeDocument/2006/relationships/hyperlink" Target="http://www.secretariasenado.gov.co/leyes/CONS_P91.HTM" TargetMode="External"/><Relationship Id="rId20" Type="http://schemas.openxmlformats.org/officeDocument/2006/relationships/hyperlink" Target="http://www.contraloriagen.gov.co/web/guest/herramientas/normatividad" TargetMode="External"/><Relationship Id="rId1" Type="http://schemas.openxmlformats.org/officeDocument/2006/relationships/hyperlink" Target="http://www.contraloriagen.gov.co/documents/10136/29244829/Constitucion+Politica+Colombia.pdf/ef5db4bb-a49a-42df-9b97-46de2d338a07" TargetMode="External"/><Relationship Id="rId6" Type="http://schemas.openxmlformats.org/officeDocument/2006/relationships/hyperlink" Target="http://www.contraloriagen.gov.co/documents/10136/29244829/Ley+358+de+1997.pdf/b09eb949-6534-40da-bfd7-3b1b1ed58ea5" TargetMode="External"/><Relationship Id="rId11" Type="http://schemas.openxmlformats.org/officeDocument/2006/relationships/hyperlink" Target="http://www.contraloriagen.gov.co/documents/10136/29244829/Constitucion+Politica+Colombia.pdf/ef5db4bb-a49a-42df-9b97-46de2d338a07" TargetMode="External"/><Relationship Id="rId24" Type="http://schemas.openxmlformats.org/officeDocument/2006/relationships/hyperlink" Target="http://www.contraloriagen.gov.co/web/guest/herramientas/normatividad" TargetMode="External"/><Relationship Id="rId5" Type="http://schemas.openxmlformats.org/officeDocument/2006/relationships/hyperlink" Target="http://www.contraloriagen.gov.co/documents/10136/29244829/Ley+185+de+1995.pdf/f4d18798-a05f-450c-bef8-55a5efdd6969" TargetMode="External"/><Relationship Id="rId15" Type="http://schemas.openxmlformats.org/officeDocument/2006/relationships/hyperlink" Target="http://www.contraloriagen.gov.co/web/guest/guia-de-auditoria" TargetMode="External"/><Relationship Id="rId23" Type="http://schemas.openxmlformats.org/officeDocument/2006/relationships/hyperlink" Target="http://www.contraloriagen.gov.co/web/guest/herramientas/normatividad" TargetMode="External"/><Relationship Id="rId28" Type="http://schemas.openxmlformats.org/officeDocument/2006/relationships/printerSettings" Target="../printerSettings/printerSettings8.bin"/><Relationship Id="rId10" Type="http://schemas.openxmlformats.org/officeDocument/2006/relationships/hyperlink" Target="http://www.contraloriagen.gov.co/documents/10136/29244829/Resolucion+5289+de+2001.pdf/0329fa1b-ef34-423b-8e92-d9184431fbb2" TargetMode="External"/><Relationship Id="rId19" Type="http://schemas.openxmlformats.org/officeDocument/2006/relationships/hyperlink" Target="http://www.secretariasenado.gov.co/leyes/CONS_P91.HTM" TargetMode="External"/><Relationship Id="rId4" Type="http://schemas.openxmlformats.org/officeDocument/2006/relationships/hyperlink" Target="http://www.contraloriagen.gov.co/documents/10136/29244829/Ley+80+de+1993.pdf/9f258564-a426-495f-be20-9c5f8fe179f0" TargetMode="External"/><Relationship Id="rId9" Type="http://schemas.openxmlformats.org/officeDocument/2006/relationships/hyperlink" Target="http://www.contraloriagen.gov.co/documents/10136/29244829/Decreto+2681+de+1993.pdf/a20c3a41-5440-4377-81a5-9c0742bb5d12" TargetMode="External"/><Relationship Id="rId14" Type="http://schemas.openxmlformats.org/officeDocument/2006/relationships/hyperlink" Target="http://www.contraloriagen.gov.co/web/guest/herramientas/normatividad" TargetMode="External"/><Relationship Id="rId22" Type="http://schemas.openxmlformats.org/officeDocument/2006/relationships/hyperlink" Target="http://www.contraloriagen.gov.co/web/guest/herramientas/normatividad" TargetMode="External"/><Relationship Id="rId27" Type="http://schemas.openxmlformats.org/officeDocument/2006/relationships/hyperlink" Target="http://www.contraloriagen.gov.co/web/guest/herramientas/normatividad"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7"/>
  <sheetViews>
    <sheetView topLeftCell="A5" workbookViewId="0"/>
  </sheetViews>
  <sheetFormatPr baseColWidth="10" defaultRowHeight="15" x14ac:dyDescent="0.2"/>
  <cols>
    <col min="1" max="1" width="33.44140625" customWidth="1"/>
    <col min="2" max="2" width="12.88671875" customWidth="1"/>
    <col min="3" max="3" width="5.21875" customWidth="1"/>
    <col min="4" max="4" width="11.21875" customWidth="1"/>
    <col min="5" max="5" width="5" customWidth="1"/>
    <col min="6" max="6" width="11.21875" customWidth="1"/>
    <col min="7" max="7" width="5.88671875" bestFit="1" customWidth="1"/>
    <col min="8" max="8" width="11.21875" bestFit="1" customWidth="1"/>
    <col min="9" max="9" width="5.21875" customWidth="1"/>
    <col min="10" max="10" width="10.77734375" bestFit="1" customWidth="1"/>
    <col min="11" max="11" width="5.21875" customWidth="1"/>
    <col min="12" max="12" width="9.5546875" bestFit="1" customWidth="1"/>
    <col min="13" max="13" width="5.21875" customWidth="1"/>
    <col min="14" max="14" width="9.5546875" bestFit="1" customWidth="1"/>
    <col min="15" max="15" width="5.21875" customWidth="1"/>
    <col min="16" max="16" width="10.77734375" bestFit="1" customWidth="1"/>
    <col min="17" max="17" width="5.21875" customWidth="1"/>
    <col min="18" max="18" width="10.77734375" bestFit="1" customWidth="1"/>
    <col min="19" max="19" width="5.21875" customWidth="1"/>
    <col min="20" max="20" width="10.77734375" bestFit="1" customWidth="1"/>
    <col min="21" max="21" width="5.21875" customWidth="1"/>
    <col min="22" max="22" width="10.77734375" bestFit="1" customWidth="1"/>
    <col min="23" max="23" width="4.21875" bestFit="1" customWidth="1"/>
    <col min="24" max="24" width="10.77734375" bestFit="1" customWidth="1"/>
    <col min="25" max="25" width="4.33203125" bestFit="1" customWidth="1"/>
    <col min="26" max="26" width="11.44140625" customWidth="1"/>
    <col min="27" max="27" width="5.21875" bestFit="1" customWidth="1"/>
    <col min="28" max="28" width="12.21875" customWidth="1"/>
    <col min="29" max="29" width="5.88671875" bestFit="1" customWidth="1"/>
    <col min="30" max="30" width="9" customWidth="1"/>
    <col min="31" max="31" width="4.88671875" customWidth="1"/>
    <col min="33" max="33" width="5.77734375" bestFit="1" customWidth="1"/>
    <col min="34" max="34" width="11.44140625" customWidth="1"/>
    <col min="35" max="35" width="5.109375" customWidth="1"/>
    <col min="36" max="36" width="10.33203125" customWidth="1"/>
    <col min="37" max="37" width="5.21875" customWidth="1"/>
    <col min="38" max="38" width="11.77734375" customWidth="1"/>
    <col min="39" max="39" width="5.77734375" bestFit="1" customWidth="1"/>
    <col min="40" max="40" width="11.44140625" customWidth="1"/>
    <col min="41" max="41" width="5.21875" customWidth="1"/>
    <col min="42" max="42" width="11.21875" customWidth="1"/>
    <col min="43" max="43" width="4.6640625" customWidth="1"/>
    <col min="44" max="44" width="11.88671875" customWidth="1"/>
    <col min="45" max="45" width="5.33203125" customWidth="1"/>
    <col min="46" max="46" width="11.33203125" customWidth="1"/>
    <col min="47" max="47" width="5.21875" customWidth="1"/>
    <col min="48" max="48" width="12.88671875" customWidth="1"/>
    <col min="49" max="49" width="5.77734375" bestFit="1" customWidth="1"/>
    <col min="50" max="50" width="8.77734375" bestFit="1" customWidth="1"/>
    <col min="51" max="51" width="5.5546875" bestFit="1" customWidth="1"/>
    <col min="52" max="52" width="6.77734375" bestFit="1" customWidth="1"/>
    <col min="53" max="53" width="5.77734375" bestFit="1" customWidth="1"/>
    <col min="54" max="54" width="10.33203125" bestFit="1" customWidth="1"/>
    <col min="55" max="55" width="4.77734375" customWidth="1"/>
    <col min="56" max="56" width="6.77734375" bestFit="1" customWidth="1"/>
    <col min="57" max="57" width="4.21875" customWidth="1"/>
    <col min="58" max="58" width="12.109375" customWidth="1"/>
    <col min="59" max="59" width="11.88671875" customWidth="1"/>
    <col min="60" max="60" width="5.5546875" bestFit="1" customWidth="1"/>
    <col min="61" max="61" width="9.6640625" hidden="1" customWidth="1"/>
    <col min="62" max="62" width="12.33203125" hidden="1" customWidth="1"/>
    <col min="63" max="63" width="11.21875" customWidth="1"/>
    <col min="64" max="64" width="6.33203125" bestFit="1" customWidth="1"/>
    <col min="65" max="65" width="11.33203125" customWidth="1"/>
    <col min="66" max="66" width="5.77734375" bestFit="1" customWidth="1"/>
    <col min="67" max="67" width="11.33203125" customWidth="1"/>
    <col min="68" max="68" width="5.77734375" bestFit="1" customWidth="1"/>
  </cols>
  <sheetData>
    <row r="1" spans="1:68" ht="15.75" hidden="1" thickBot="1" x14ac:dyDescent="0.25">
      <c r="A1" s="1" t="s">
        <v>0</v>
      </c>
    </row>
    <row r="2" spans="1:68" ht="13.5" customHeight="1" thickBot="1" x14ac:dyDescent="0.25">
      <c r="A2" s="289" t="s">
        <v>1</v>
      </c>
      <c r="B2" s="531" t="s">
        <v>331</v>
      </c>
      <c r="C2" s="532"/>
      <c r="D2" s="532"/>
      <c r="E2" s="532"/>
      <c r="F2" s="532"/>
      <c r="G2" s="532"/>
      <c r="H2" s="532"/>
      <c r="I2" s="533"/>
      <c r="J2" s="531" t="s">
        <v>329</v>
      </c>
      <c r="K2" s="532"/>
      <c r="L2" s="532"/>
      <c r="M2" s="532"/>
      <c r="N2" s="532"/>
      <c r="O2" s="532"/>
      <c r="P2" s="532"/>
      <c r="Q2" s="533"/>
      <c r="R2" s="531" t="s">
        <v>330</v>
      </c>
      <c r="S2" s="532"/>
      <c r="T2" s="532"/>
      <c r="U2" s="532"/>
      <c r="V2" s="532"/>
      <c r="W2" s="532"/>
      <c r="X2" s="532"/>
      <c r="Y2" s="533"/>
      <c r="Z2" s="534" t="s">
        <v>2</v>
      </c>
      <c r="AA2" s="532"/>
      <c r="AB2" s="532"/>
      <c r="AC2" s="532"/>
      <c r="AD2" s="532"/>
      <c r="AE2" s="532"/>
      <c r="AF2" s="532"/>
      <c r="AG2" s="533"/>
      <c r="AH2" s="534" t="s">
        <v>3</v>
      </c>
      <c r="AI2" s="532"/>
      <c r="AJ2" s="532"/>
      <c r="AK2" s="532"/>
      <c r="AL2" s="532"/>
      <c r="AM2" s="532"/>
      <c r="AN2" s="532"/>
      <c r="AO2" s="533"/>
      <c r="AP2" s="534" t="s">
        <v>4</v>
      </c>
      <c r="AQ2" s="532"/>
      <c r="AR2" s="532"/>
      <c r="AS2" s="532"/>
      <c r="AT2" s="532"/>
      <c r="AU2" s="532"/>
      <c r="AV2" s="532"/>
      <c r="AW2" s="533"/>
      <c r="AX2" s="534" t="s">
        <v>5</v>
      </c>
      <c r="AY2" s="532"/>
      <c r="AZ2" s="532"/>
      <c r="BA2" s="532"/>
      <c r="BB2" s="532"/>
      <c r="BC2" s="532"/>
      <c r="BD2" s="532"/>
      <c r="BE2" s="533"/>
      <c r="BF2" s="538" t="s">
        <v>6</v>
      </c>
      <c r="BG2" s="539"/>
      <c r="BH2" s="539"/>
      <c r="BI2" s="539"/>
      <c r="BJ2" s="539"/>
      <c r="BK2" s="539"/>
      <c r="BL2" s="539"/>
      <c r="BM2" s="539"/>
      <c r="BN2" s="539"/>
      <c r="BO2" s="539"/>
      <c r="BP2" s="540"/>
    </row>
    <row r="3" spans="1:68" ht="15.75" thickBot="1" x14ac:dyDescent="0.25">
      <c r="A3" s="290" t="s">
        <v>7</v>
      </c>
      <c r="B3" s="527" t="s">
        <v>8</v>
      </c>
      <c r="C3" s="528"/>
      <c r="D3" s="529" t="s">
        <v>9</v>
      </c>
      <c r="E3" s="529"/>
      <c r="F3" s="529"/>
      <c r="G3" s="529"/>
      <c r="H3" s="529"/>
      <c r="I3" s="530"/>
      <c r="J3" s="268"/>
      <c r="K3" s="268"/>
      <c r="L3" s="268"/>
      <c r="M3" s="268"/>
      <c r="N3" s="268"/>
      <c r="O3" s="268"/>
      <c r="P3" s="268"/>
      <c r="Q3" s="268"/>
      <c r="R3" s="268"/>
      <c r="S3" s="268"/>
      <c r="T3" s="268"/>
      <c r="U3" s="268"/>
      <c r="V3" s="268"/>
      <c r="W3" s="268"/>
      <c r="X3" s="268"/>
      <c r="Y3" s="268"/>
      <c r="Z3" s="541" t="s">
        <v>8</v>
      </c>
      <c r="AA3" s="528"/>
      <c r="AB3" s="529" t="s">
        <v>9</v>
      </c>
      <c r="AC3" s="529"/>
      <c r="AD3" s="529"/>
      <c r="AE3" s="529"/>
      <c r="AF3" s="529"/>
      <c r="AG3" s="530"/>
      <c r="AH3" s="541" t="s">
        <v>8</v>
      </c>
      <c r="AI3" s="528"/>
      <c r="AJ3" s="529" t="s">
        <v>9</v>
      </c>
      <c r="AK3" s="529"/>
      <c r="AL3" s="529"/>
      <c r="AM3" s="529"/>
      <c r="AN3" s="529"/>
      <c r="AO3" s="530"/>
      <c r="AP3" s="541" t="s">
        <v>8</v>
      </c>
      <c r="AQ3" s="528"/>
      <c r="AR3" s="529" t="s">
        <v>9</v>
      </c>
      <c r="AS3" s="529"/>
      <c r="AT3" s="529"/>
      <c r="AU3" s="529"/>
      <c r="AV3" s="529"/>
      <c r="AW3" s="530"/>
      <c r="AX3" s="541" t="s">
        <v>8</v>
      </c>
      <c r="AY3" s="528"/>
      <c r="AZ3" s="529" t="s">
        <v>9</v>
      </c>
      <c r="BA3" s="529"/>
      <c r="BB3" s="529"/>
      <c r="BC3" s="529"/>
      <c r="BD3" s="529"/>
      <c r="BE3" s="530"/>
      <c r="BF3" s="535" t="s">
        <v>8</v>
      </c>
      <c r="BG3" s="536"/>
      <c r="BH3" s="536"/>
      <c r="BI3" s="536"/>
      <c r="BJ3" s="537"/>
      <c r="BK3" s="531" t="s">
        <v>9</v>
      </c>
      <c r="BL3" s="532"/>
      <c r="BM3" s="532"/>
      <c r="BN3" s="532"/>
      <c r="BO3" s="532"/>
      <c r="BP3" s="533"/>
    </row>
    <row r="4" spans="1:68" ht="39" thickBot="1" x14ac:dyDescent="0.25">
      <c r="A4" s="291" t="s">
        <v>10</v>
      </c>
      <c r="B4" s="292" t="s">
        <v>11</v>
      </c>
      <c r="C4" s="293" t="s">
        <v>12</v>
      </c>
      <c r="D4" s="294" t="s">
        <v>13</v>
      </c>
      <c r="E4" s="293" t="s">
        <v>14</v>
      </c>
      <c r="F4" s="295" t="s">
        <v>15</v>
      </c>
      <c r="G4" s="293" t="s">
        <v>14</v>
      </c>
      <c r="H4" s="294" t="s">
        <v>16</v>
      </c>
      <c r="I4" s="296" t="s">
        <v>14</v>
      </c>
      <c r="J4" s="292" t="s">
        <v>11</v>
      </c>
      <c r="K4" s="293" t="s">
        <v>12</v>
      </c>
      <c r="L4" s="294" t="s">
        <v>13</v>
      </c>
      <c r="M4" s="293" t="s">
        <v>14</v>
      </c>
      <c r="N4" s="295" t="s">
        <v>15</v>
      </c>
      <c r="O4" s="293" t="s">
        <v>14</v>
      </c>
      <c r="P4" s="294" t="s">
        <v>16</v>
      </c>
      <c r="Q4" s="296" t="s">
        <v>14</v>
      </c>
      <c r="R4" s="292" t="s">
        <v>11</v>
      </c>
      <c r="S4" s="293" t="s">
        <v>12</v>
      </c>
      <c r="T4" s="294" t="s">
        <v>13</v>
      </c>
      <c r="U4" s="293" t="s">
        <v>14</v>
      </c>
      <c r="V4" s="295" t="s">
        <v>15</v>
      </c>
      <c r="W4" s="293" t="s">
        <v>14</v>
      </c>
      <c r="X4" s="294" t="s">
        <v>16</v>
      </c>
      <c r="Y4" s="296" t="s">
        <v>14</v>
      </c>
      <c r="Z4" s="297" t="s">
        <v>11</v>
      </c>
      <c r="AA4" s="293" t="s">
        <v>12</v>
      </c>
      <c r="AB4" s="294" t="s">
        <v>13</v>
      </c>
      <c r="AC4" s="293" t="s">
        <v>14</v>
      </c>
      <c r="AD4" s="295" t="s">
        <v>15</v>
      </c>
      <c r="AE4" s="293" t="s">
        <v>14</v>
      </c>
      <c r="AF4" s="294" t="s">
        <v>16</v>
      </c>
      <c r="AG4" s="296" t="s">
        <v>14</v>
      </c>
      <c r="AH4" s="297" t="s">
        <v>11</v>
      </c>
      <c r="AI4" s="293" t="s">
        <v>12</v>
      </c>
      <c r="AJ4" s="294" t="s">
        <v>13</v>
      </c>
      <c r="AK4" s="293" t="s">
        <v>14</v>
      </c>
      <c r="AL4" s="295" t="s">
        <v>15</v>
      </c>
      <c r="AM4" s="293" t="s">
        <v>14</v>
      </c>
      <c r="AN4" s="294" t="s">
        <v>16</v>
      </c>
      <c r="AO4" s="296" t="s">
        <v>14</v>
      </c>
      <c r="AP4" s="297" t="s">
        <v>11</v>
      </c>
      <c r="AQ4" s="293" t="s">
        <v>12</v>
      </c>
      <c r="AR4" s="294" t="s">
        <v>13</v>
      </c>
      <c r="AS4" s="293" t="s">
        <v>14</v>
      </c>
      <c r="AT4" s="295" t="s">
        <v>15</v>
      </c>
      <c r="AU4" s="293" t="s">
        <v>14</v>
      </c>
      <c r="AV4" s="294" t="s">
        <v>16</v>
      </c>
      <c r="AW4" s="296" t="s">
        <v>14</v>
      </c>
      <c r="AX4" s="297" t="s">
        <v>11</v>
      </c>
      <c r="AY4" s="293" t="s">
        <v>12</v>
      </c>
      <c r="AZ4" s="294" t="s">
        <v>13</v>
      </c>
      <c r="BA4" s="293" t="s">
        <v>14</v>
      </c>
      <c r="BB4" s="295" t="s">
        <v>15</v>
      </c>
      <c r="BC4" s="293" t="s">
        <v>14</v>
      </c>
      <c r="BD4" s="294" t="s">
        <v>16</v>
      </c>
      <c r="BE4" s="296" t="s">
        <v>14</v>
      </c>
      <c r="BF4" s="292" t="s">
        <v>17</v>
      </c>
      <c r="BG4" s="298" t="s">
        <v>18</v>
      </c>
      <c r="BH4" s="293" t="s">
        <v>12</v>
      </c>
      <c r="BI4" s="299" t="s">
        <v>19</v>
      </c>
      <c r="BJ4" s="300" t="s">
        <v>20</v>
      </c>
      <c r="BK4" s="301" t="s">
        <v>13</v>
      </c>
      <c r="BL4" s="293" t="s">
        <v>14</v>
      </c>
      <c r="BM4" s="295" t="s">
        <v>15</v>
      </c>
      <c r="BN4" s="293" t="s">
        <v>14</v>
      </c>
      <c r="BO4" s="294" t="s">
        <v>16</v>
      </c>
      <c r="BP4" s="296" t="s">
        <v>14</v>
      </c>
    </row>
    <row r="5" spans="1:68" x14ac:dyDescent="0.2">
      <c r="A5" s="288" t="s">
        <v>21</v>
      </c>
      <c r="B5" s="31">
        <f>SUM([1]con!$F$434)</f>
        <v>0</v>
      </c>
      <c r="C5" s="32">
        <f t="shared" ref="C5:C17" si="0">IF(OR(B5=0,B$84=0),0,B5/B$84)*100</f>
        <v>0</v>
      </c>
      <c r="D5" s="4">
        <f>SUM([1]con!$J$434)</f>
        <v>0</v>
      </c>
      <c r="E5" s="32">
        <f>IF(OR(D5=0,B5=0),0,D5/B5)*100</f>
        <v>0</v>
      </c>
      <c r="F5" s="33">
        <f>SUM(H5-D5)</f>
        <v>0</v>
      </c>
      <c r="G5" s="32">
        <f>IF(OR(F5=0,B5=0),0,F5/B5)*100</f>
        <v>0</v>
      </c>
      <c r="H5" s="4">
        <f>SUM([1]con!$N$434)</f>
        <v>0</v>
      </c>
      <c r="I5" s="34">
        <f>IF(OR(H5=0,B5=0),0,H5/B5)*100</f>
        <v>0</v>
      </c>
      <c r="J5" s="31">
        <f>SUM([1]con!$F$885)</f>
        <v>0</v>
      </c>
      <c r="K5" s="32">
        <f t="shared" ref="K5:K17" si="1">IF(OR(J5=0,J$84=0),0,J5/J$84)*100</f>
        <v>0</v>
      </c>
      <c r="L5" s="4">
        <f>SUM([1]con!$J$885)</f>
        <v>0</v>
      </c>
      <c r="M5" s="32">
        <f>IF(OR(L5=0,J5=0),0,L5/J5)*100</f>
        <v>0</v>
      </c>
      <c r="N5" s="33">
        <f>SUM(P5-L5)</f>
        <v>0</v>
      </c>
      <c r="O5" s="32">
        <f>IF(OR(N5=0,J5=0),0,N5/J5)*100</f>
        <v>0</v>
      </c>
      <c r="P5" s="4">
        <f>SUM([1]con!$N$885)</f>
        <v>0</v>
      </c>
      <c r="Q5" s="34">
        <f>IF(OR(P5=0,J5=0),0,P5/J5)*100</f>
        <v>0</v>
      </c>
      <c r="R5" s="31">
        <f>SUM(B5+J5)</f>
        <v>0</v>
      </c>
      <c r="S5" s="32">
        <f t="shared" ref="S5:S17" si="2">IF(OR(R5=0,R$84=0),0,R5/R$84)*100</f>
        <v>0</v>
      </c>
      <c r="T5" s="31">
        <f>SUM(D5+L5)</f>
        <v>0</v>
      </c>
      <c r="U5" s="32">
        <f>IF(OR(T5=0,R5=0),0,T5/R5)*100</f>
        <v>0</v>
      </c>
      <c r="V5" s="33">
        <f>SUM(X5-T5)</f>
        <v>0</v>
      </c>
      <c r="W5" s="32">
        <f>IF(OR(V5=0,R5=0),0,V5/R5)*100</f>
        <v>0</v>
      </c>
      <c r="X5" s="31">
        <f>SUM(H5+P5)</f>
        <v>0</v>
      </c>
      <c r="Y5" s="34">
        <f>IF(OR(X5=0,R5=0),0,X5/R5)*100</f>
        <v>0</v>
      </c>
      <c r="Z5" s="31"/>
      <c r="AA5" s="32"/>
      <c r="AB5" s="33"/>
      <c r="AC5" s="32"/>
      <c r="AD5" s="33"/>
      <c r="AE5" s="32"/>
      <c r="AF5" s="33"/>
      <c r="AG5" s="34"/>
      <c r="AH5" s="31">
        <f>SUM([1]con!$F$1787)</f>
        <v>0</v>
      </c>
      <c r="AI5" s="32">
        <f t="shared" ref="AI5:AI17" si="3">IF(OR(AH5=0,AH$84=0),0,AH5/AH$84)*100</f>
        <v>0</v>
      </c>
      <c r="AJ5" s="4">
        <f>SUM([1]con!$J$1787)</f>
        <v>0</v>
      </c>
      <c r="AK5" s="32">
        <f>IF(OR(AJ5=0,AH5=0),0,AJ5/AH5)*100</f>
        <v>0</v>
      </c>
      <c r="AL5" s="33">
        <f>SUM(AN5-AJ5)</f>
        <v>0</v>
      </c>
      <c r="AM5" s="32">
        <f>IF(OR(AL5=0,AH5=0),0,AL5/AH5)*100</f>
        <v>0</v>
      </c>
      <c r="AN5" s="4">
        <f>SUM([1]con!$N$1787)</f>
        <v>0</v>
      </c>
      <c r="AO5" s="34">
        <f>IF(OR(AN5=0,AH5=0),0,AN5/AH5)*100</f>
        <v>0</v>
      </c>
      <c r="AP5" s="31">
        <f>SUM([1]con!$F$1801)</f>
        <v>0</v>
      </c>
      <c r="AQ5" s="32">
        <f t="shared" ref="AQ5:AQ17" si="4">IF(OR(AP5=0,AP$84=0),0,AP5/AP$84)*100</f>
        <v>0</v>
      </c>
      <c r="AR5" s="4">
        <f>SUM([1]con!$J$1801)</f>
        <v>0</v>
      </c>
      <c r="AS5" s="32">
        <f>IF(OR(AR5=0,AP5=0),0,AR5/AP5)*100</f>
        <v>0</v>
      </c>
      <c r="AT5" s="33">
        <f>SUM(AV5-AR5)</f>
        <v>0</v>
      </c>
      <c r="AU5" s="32">
        <f>IF(OR(AT5=0,AP5=0),0,AT5/AP5)*100</f>
        <v>0</v>
      </c>
      <c r="AV5" s="4">
        <f>SUM([1]con!$N$1801)</f>
        <v>0</v>
      </c>
      <c r="AW5" s="34">
        <f>IF(OR(AV5=0,AP5=0),0,AV5/AP5)*100</f>
        <v>0</v>
      </c>
      <c r="AX5" s="31"/>
      <c r="AY5" s="32">
        <f t="shared" ref="AY5:AY17" si="5">IF(OR(AX5=0,AX$84=0),0,AX5/AX$84)*100</f>
        <v>0</v>
      </c>
      <c r="AZ5" s="31"/>
      <c r="BA5" s="32">
        <f>IF(OR(AZ5=0,AX5=0),0,AZ5/AX5)*100</f>
        <v>0</v>
      </c>
      <c r="BB5" s="33"/>
      <c r="BC5" s="32">
        <f>IF(OR(BB5=0,AX5=0),0,BB5/AX5)*100</f>
        <v>0</v>
      </c>
      <c r="BD5" s="31"/>
      <c r="BE5" s="34">
        <f>IF(OR(BD5=0,AX5=0),0,BD5/AX5)*100</f>
        <v>0</v>
      </c>
      <c r="BF5" s="31">
        <f>SUM([1]con!$D$432)</f>
        <v>0</v>
      </c>
      <c r="BG5" s="282">
        <f>SUM(R5+Z5+AH5+AP5+AX5)</f>
        <v>0</v>
      </c>
      <c r="BH5" s="35">
        <f t="shared" ref="BH5:BH36" si="6">IF(OR(BG5=0,BG$84=0),0,BG5/BG$84)*100</f>
        <v>0</v>
      </c>
      <c r="BI5" s="31">
        <f>SUM([2]conc!$H$320)</f>
        <v>0</v>
      </c>
      <c r="BJ5" s="33">
        <f>SUM(BG5-BI5)</f>
        <v>0</v>
      </c>
      <c r="BK5" s="282">
        <f>SUM(T5+AB5+AJ5+AR5+AZ5)</f>
        <v>0</v>
      </c>
      <c r="BL5" s="32">
        <f>IF(OR(BK5=0,BG5=0),0,BK5/BG5)*100</f>
        <v>0</v>
      </c>
      <c r="BM5" s="282">
        <f>SUM(V5+AD5+AL5+AT5+BB5)</f>
        <v>0</v>
      </c>
      <c r="BN5" s="32">
        <f>IF(OR(BM5=0,BG5=0),0,BM5/BG5)*100</f>
        <v>0</v>
      </c>
      <c r="BO5" s="36">
        <f>SUM(BK5+BM5)</f>
        <v>0</v>
      </c>
      <c r="BP5" s="34">
        <f>IF(OR(BO5=0,BG5=0),0,BO5/BG5)*100</f>
        <v>0</v>
      </c>
    </row>
    <row r="6" spans="1:68" x14ac:dyDescent="0.2">
      <c r="A6" s="5" t="s">
        <v>22</v>
      </c>
      <c r="B6" s="31">
        <f>SUM([1]per!$F$434)</f>
        <v>0</v>
      </c>
      <c r="C6" s="7">
        <f t="shared" si="0"/>
        <v>0</v>
      </c>
      <c r="D6" s="33">
        <f>SUM([1]per!$J$434)</f>
        <v>0</v>
      </c>
      <c r="E6" s="7">
        <f>IF(OR(D6=0,B6=0),0,D6/B6)*100</f>
        <v>0</v>
      </c>
      <c r="F6" s="8">
        <f>SUM(H6-D6)</f>
        <v>0</v>
      </c>
      <c r="G6" s="7">
        <f>IF(OR(F6=0,B6=0),0,F6/B6)*100</f>
        <v>0</v>
      </c>
      <c r="H6" s="33">
        <f>SUM([1]per!$N$434)</f>
        <v>0</v>
      </c>
      <c r="I6" s="9">
        <f>IF(OR(H6=0,B6=0),0,H6/B6)*100</f>
        <v>0</v>
      </c>
      <c r="J6" s="31">
        <f>SUM([1]per!$F$885)</f>
        <v>1200000</v>
      </c>
      <c r="K6" s="7">
        <f t="shared" si="1"/>
        <v>2.2806667444734467E-2</v>
      </c>
      <c r="L6" s="33">
        <f>SUM([1]per!$J$885)</f>
        <v>7000</v>
      </c>
      <c r="M6" s="7">
        <f>IF(OR(L6=0,J6=0),0,L6/J6)*100</f>
        <v>0.58333333333333337</v>
      </c>
      <c r="N6" s="8">
        <f>SUM(P6-L6)</f>
        <v>392103.18200000003</v>
      </c>
      <c r="O6" s="7">
        <f>IF(OR(N6=0,J6=0),0,N6/J6)*100</f>
        <v>32.675265166666669</v>
      </c>
      <c r="P6" s="33">
        <f>SUM([1]per!$N$885)</f>
        <v>399103.18200000003</v>
      </c>
      <c r="Q6" s="9">
        <f>IF(OR(P6=0,J6=0),0,P6/J6)*100</f>
        <v>33.258598500000005</v>
      </c>
      <c r="R6" s="6">
        <f>SUM(B6+J6)</f>
        <v>1200000</v>
      </c>
      <c r="S6" s="7">
        <f t="shared" si="2"/>
        <v>1.3869422295452797E-2</v>
      </c>
      <c r="T6" s="6">
        <f>SUM(D6+L6)</f>
        <v>7000</v>
      </c>
      <c r="U6" s="7">
        <f>IF(OR(T6=0,R6=0),0,T6/R6)*100</f>
        <v>0.58333333333333337</v>
      </c>
      <c r="V6" s="8">
        <f>SUM(X6-T6)</f>
        <v>392103.18200000003</v>
      </c>
      <c r="W6" s="7">
        <f>IF(OR(V6=0,R6=0),0,V6/R6)*100</f>
        <v>32.675265166666669</v>
      </c>
      <c r="X6" s="6">
        <f>SUM(H6+P6)</f>
        <v>399103.18200000003</v>
      </c>
      <c r="Y6" s="9">
        <f>IF(OR(X6=0,R6=0),0,X6/R6)*100</f>
        <v>33.258598500000005</v>
      </c>
      <c r="Z6" s="6"/>
      <c r="AA6" s="7"/>
      <c r="AB6" s="8"/>
      <c r="AC6" s="7"/>
      <c r="AD6" s="8"/>
      <c r="AE6" s="7"/>
      <c r="AF6" s="8"/>
      <c r="AG6" s="9"/>
      <c r="AH6" s="31">
        <f>SUM([1]per!$F$1787)</f>
        <v>24331</v>
      </c>
      <c r="AI6" s="7">
        <f t="shared" si="3"/>
        <v>3.0838775704805674E-3</v>
      </c>
      <c r="AJ6" s="33">
        <f>SUM([1]per!$J$1787)</f>
        <v>12165.5</v>
      </c>
      <c r="AK6" s="7">
        <f>IF(OR(AJ6=0,AH6=0),0,AJ6/AH6)*100</f>
        <v>50</v>
      </c>
      <c r="AL6" s="8">
        <f>SUM(AN6-AJ6)</f>
        <v>0</v>
      </c>
      <c r="AM6" s="7">
        <f>IF(OR(AL6=0,AH6=0),0,AL6/AH6)*100</f>
        <v>0</v>
      </c>
      <c r="AN6" s="33">
        <f>SUM([1]per!$N$1787)</f>
        <v>12165.5</v>
      </c>
      <c r="AO6" s="9">
        <f>IF(OR(AN6=0,AH6=0),0,AN6/AH6)*100</f>
        <v>50</v>
      </c>
      <c r="AP6" s="31">
        <f>SUM([1]per!$F$1801)</f>
        <v>1095685.3759999999</v>
      </c>
      <c r="AQ6" s="7">
        <f t="shared" si="4"/>
        <v>0.11741320484850939</v>
      </c>
      <c r="AR6" s="33">
        <f>SUM([1]per!$J$1801)</f>
        <v>976586.34699999995</v>
      </c>
      <c r="AS6" s="7">
        <f>IF(OR(AR6=0,AP6=0),0,AR6/AP6)*100</f>
        <v>89.130179921284267</v>
      </c>
      <c r="AT6" s="8">
        <f>SUM(AV6-AR6)</f>
        <v>78630.967999999993</v>
      </c>
      <c r="AU6" s="7">
        <f>IF(OR(AT6=0,AP6=0),0,AT6/AP6)*100</f>
        <v>7.1764184977129792</v>
      </c>
      <c r="AV6" s="33">
        <f>SUM([1]per!$N$1801)</f>
        <v>1055217.3149999999</v>
      </c>
      <c r="AW6" s="9">
        <f>IF(OR(AV6=0,AP6=0),0,AV6/AP6)*100</f>
        <v>96.306598418997254</v>
      </c>
      <c r="AX6" s="6"/>
      <c r="AY6" s="7">
        <f t="shared" si="5"/>
        <v>0</v>
      </c>
      <c r="AZ6" s="6"/>
      <c r="BA6" s="7">
        <f>IF(OR(AZ6=0,AX6=0),0,AZ6/AX6)*100</f>
        <v>0</v>
      </c>
      <c r="BB6" s="8"/>
      <c r="BC6" s="7">
        <f>IF(OR(BB6=0,AX6=0),0,BB6/AX6)*100</f>
        <v>0</v>
      </c>
      <c r="BD6" s="6"/>
      <c r="BE6" s="9">
        <f>IF(OR(BD6=0,AX6=0),0,BD6/AX6)*100</f>
        <v>0</v>
      </c>
      <c r="BF6" s="31">
        <f>SUM([1]per!$D$432)</f>
        <v>2693831</v>
      </c>
      <c r="BG6" s="8">
        <f>SUM(R6+Z6+AH6+AP6+AX6)</f>
        <v>2320016.3760000002</v>
      </c>
      <c r="BH6" s="10">
        <f t="shared" si="6"/>
        <v>1.6347756609120034E-2</v>
      </c>
      <c r="BI6" s="6">
        <f>SUM([2]pers!$H$320)</f>
        <v>0</v>
      </c>
      <c r="BJ6" s="8">
        <f>SUM(BG6-BI6)</f>
        <v>2320016.3760000002</v>
      </c>
      <c r="BK6" s="8">
        <f>SUM(T6+AB6+AJ6+AR6+AZ6)</f>
        <v>995751.84699999995</v>
      </c>
      <c r="BL6" s="7">
        <f>IF(OR(BK6=0,BG6=0),0,BK6/BG6)*100</f>
        <v>42.920035276509608</v>
      </c>
      <c r="BM6" s="8">
        <f>SUM(V6+AD6+AL6+AT6+BB6)</f>
        <v>470734.15</v>
      </c>
      <c r="BN6" s="7">
        <f t="shared" ref="BN6:BN27" si="7">IF(OR(BM6=0,BG6=0),0,BM6/BG6)*100</f>
        <v>20.290121865932896</v>
      </c>
      <c r="BO6" s="11">
        <f t="shared" ref="BO6:BO27" si="8">SUM(BK6+BM6)</f>
        <v>1466485.997</v>
      </c>
      <c r="BP6" s="9">
        <f>IF(OR(BO6=0,BG6=0),0,BO6/BG6)*100</f>
        <v>63.210157142442512</v>
      </c>
    </row>
    <row r="7" spans="1:68" x14ac:dyDescent="0.2">
      <c r="A7" s="5" t="s">
        <v>23</v>
      </c>
      <c r="B7" s="31">
        <f>SUM([1]alc!$F$434)</f>
        <v>10263186.296</v>
      </c>
      <c r="C7" s="7">
        <f t="shared" si="0"/>
        <v>0.30270353801148686</v>
      </c>
      <c r="D7" s="33">
        <f>SUM([1]alc!$J$434)</f>
        <v>6749092.8569999989</v>
      </c>
      <c r="E7" s="7">
        <f t="shared" ref="E7:E67" si="9">IF(OR(D7=0,B7=0),0,D7/B7)*100</f>
        <v>65.760209961602342</v>
      </c>
      <c r="F7" s="8">
        <f t="shared" ref="F7:F27" si="10">SUM(H7-D7)</f>
        <v>3220696.3400000017</v>
      </c>
      <c r="G7" s="7">
        <f t="shared" ref="G7:G67" si="11">IF(OR(F7=0,B7=0),0,F7/B7)*100</f>
        <v>31.381056984761585</v>
      </c>
      <c r="H7" s="33">
        <f>SUM([1]alc!$N$434)</f>
        <v>9969789.1970000006</v>
      </c>
      <c r="I7" s="9">
        <f t="shared" ref="I7:I67" si="12">IF(OR(H7=0,B7=0),0,H7/B7)*100</f>
        <v>97.141266946363942</v>
      </c>
      <c r="J7" s="31">
        <f>SUM([1]alc!$F$885)</f>
        <v>26659722.479999997</v>
      </c>
      <c r="K7" s="7">
        <f t="shared" si="1"/>
        <v>0.50668285397522639</v>
      </c>
      <c r="L7" s="33">
        <f>SUM([1]alc!$J$885)</f>
        <v>1938339.3310000002</v>
      </c>
      <c r="M7" s="7">
        <f t="shared" ref="M7:M17" si="13">IF(OR(L7=0,J7=0),0,L7/J7)*100</f>
        <v>7.2706658235251087</v>
      </c>
      <c r="N7" s="8">
        <f t="shared" ref="N7:N17" si="14">SUM(P7-L7)</f>
        <v>4501674.6389999986</v>
      </c>
      <c r="O7" s="7">
        <f t="shared" ref="O7:O17" si="15">IF(OR(N7=0,J7=0),0,N7/J7)*100</f>
        <v>16.885677044752189</v>
      </c>
      <c r="P7" s="33">
        <f>SUM([1]alc!$N$885)</f>
        <v>6440013.9699999988</v>
      </c>
      <c r="Q7" s="9">
        <f t="shared" ref="Q7:Q17" si="16">IF(OR(P7=0,J7=0),0,P7/J7)*100</f>
        <v>24.156342868277296</v>
      </c>
      <c r="R7" s="6">
        <f>SUM(B7+J7)</f>
        <v>36922908.775999993</v>
      </c>
      <c r="S7" s="7">
        <f t="shared" si="2"/>
        <v>0.42674951182568677</v>
      </c>
      <c r="T7" s="6">
        <f>SUM(D7+L7)</f>
        <v>8687432.1879999992</v>
      </c>
      <c r="U7" s="7">
        <f t="shared" ref="U7:U17" si="17">IF(OR(T7=0,R7=0),0,T7/R7)*100</f>
        <v>23.528569324545899</v>
      </c>
      <c r="V7" s="8">
        <f t="shared" ref="V7:V17" si="18">SUM(X7-T7)</f>
        <v>7722370.9790000003</v>
      </c>
      <c r="W7" s="7">
        <f t="shared" ref="W7:W17" si="19">IF(OR(V7=0,R7=0),0,V7/R7)*100</f>
        <v>20.914849980669903</v>
      </c>
      <c r="X7" s="6">
        <f>SUM(H7+P7)</f>
        <v>16409803.166999999</v>
      </c>
      <c r="Y7" s="9">
        <f t="shared" ref="Y7:Y17" si="20">IF(OR(X7=0,R7=0),0,X7/R7)*100</f>
        <v>44.443419305215798</v>
      </c>
      <c r="Z7" s="6"/>
      <c r="AA7" s="7"/>
      <c r="AB7" s="8"/>
      <c r="AC7" s="7"/>
      <c r="AD7" s="8"/>
      <c r="AE7" s="7"/>
      <c r="AF7" s="8"/>
      <c r="AG7" s="9"/>
      <c r="AH7" s="31">
        <f>SUM([1]alc!$F$1787)</f>
        <v>121776.374</v>
      </c>
      <c r="AI7" s="7">
        <f t="shared" si="3"/>
        <v>1.5434771624390813E-2</v>
      </c>
      <c r="AJ7" s="33">
        <f>SUM([1]alc!$J$1787)</f>
        <v>116626.374</v>
      </c>
      <c r="AK7" s="7">
        <f t="shared" ref="AK7:AK17" si="21">IF(OR(AJ7=0,AH7=0),0,AJ7/AH7)*100</f>
        <v>95.770936651472311</v>
      </c>
      <c r="AL7" s="8">
        <f t="shared" ref="AL7:AL17" si="22">SUM(AN7-AJ7)</f>
        <v>0</v>
      </c>
      <c r="AM7" s="7">
        <f t="shared" ref="AM7:AM17" si="23">IF(OR(AL7=0,AH7=0),0,AL7/AH7)*100</f>
        <v>0</v>
      </c>
      <c r="AN7" s="33">
        <f>SUM([1]alc!$N$1787)</f>
        <v>116626.374</v>
      </c>
      <c r="AO7" s="9">
        <f t="shared" ref="AO7:AO17" si="24">IF(OR(AN7=0,AH7=0),0,AN7/AH7)*100</f>
        <v>95.770936651472311</v>
      </c>
      <c r="AP7" s="31">
        <f>SUM([1]alc!$F$1801)</f>
        <v>5833816.4759999998</v>
      </c>
      <c r="AQ7" s="7">
        <f t="shared" si="4"/>
        <v>0.62514943062012474</v>
      </c>
      <c r="AR7" s="33">
        <f>SUM([1]alc!$J$1801)</f>
        <v>3879932.8859999999</v>
      </c>
      <c r="AS7" s="7">
        <f t="shared" ref="AS7:AS17" si="25">IF(OR(AR7=0,AP7=0),0,AR7/AP7)*100</f>
        <v>66.507626730491623</v>
      </c>
      <c r="AT7" s="8">
        <f t="shared" ref="AT7:AT17" si="26">SUM(AV7-AR7)</f>
        <v>1736374.6230000006</v>
      </c>
      <c r="AU7" s="7">
        <f t="shared" ref="AU7:AU17" si="27">IF(OR(AT7=0,AP7=0),0,AT7/AP7)*100</f>
        <v>29.763956924996705</v>
      </c>
      <c r="AV7" s="33">
        <f>SUM([1]alc!$N$1801)</f>
        <v>5616307.5090000005</v>
      </c>
      <c r="AW7" s="9">
        <f t="shared" ref="AW7:AW17" si="28">IF(OR(AV7=0,AP7=0),0,AV7/AP7)*100</f>
        <v>96.271583655488328</v>
      </c>
      <c r="AX7" s="6"/>
      <c r="AY7" s="7">
        <f t="shared" si="5"/>
        <v>0</v>
      </c>
      <c r="AZ7" s="6"/>
      <c r="BA7" s="7">
        <f t="shared" ref="BA7:BA17" si="29">IF(OR(AZ7=0,AX7=0),0,AZ7/AX7)*100</f>
        <v>0</v>
      </c>
      <c r="BB7" s="8"/>
      <c r="BC7" s="7">
        <f t="shared" ref="BC7:BC17" si="30">IF(OR(BB7=0,AX7=0),0,BB7/AX7)*100</f>
        <v>0</v>
      </c>
      <c r="BD7" s="6"/>
      <c r="BE7" s="9">
        <f t="shared" ref="BE7:BE17" si="31">IF(OR(BD7=0,AX7=0),0,BD7/AX7)*100</f>
        <v>0</v>
      </c>
      <c r="BF7" s="31">
        <f>SUM([1]alc!$D$432)</f>
        <v>47230242</v>
      </c>
      <c r="BG7" s="8">
        <f>SUM(R7+Z7+AH7+AP7+AX7)</f>
        <v>42878501.625999987</v>
      </c>
      <c r="BH7" s="10">
        <f t="shared" si="6"/>
        <v>0.30213894849921757</v>
      </c>
      <c r="BI7" s="6">
        <f>SUM([2]gral!$H$320)</f>
        <v>0</v>
      </c>
      <c r="BJ7" s="8">
        <f>SUM(BG7-BI7)</f>
        <v>42878501.625999987</v>
      </c>
      <c r="BK7" s="8">
        <f>SUM(T7+AB7+AJ7+AR7+AZ7)</f>
        <v>12683991.447999999</v>
      </c>
      <c r="BL7" s="7">
        <f>IF(OR(BK7=0,BG7=0),0,BK7/BG7)*100</f>
        <v>29.58123760628072</v>
      </c>
      <c r="BM7" s="8">
        <f>SUM(V7+AD7+AL7+AT7+BB7)</f>
        <v>9458745.6020000018</v>
      </c>
      <c r="BN7" s="7">
        <f t="shared" si="7"/>
        <v>22.05941262710672</v>
      </c>
      <c r="BO7" s="11">
        <f t="shared" si="8"/>
        <v>22142737.050000001</v>
      </c>
      <c r="BP7" s="9">
        <f t="shared" ref="BP7:BP27" si="32">IF(OR(BO7=0,BG7=0),0,BO7/BG7)*100</f>
        <v>51.64065023338744</v>
      </c>
    </row>
    <row r="8" spans="1:68" x14ac:dyDescent="0.2">
      <c r="A8" s="5" t="s">
        <v>24</v>
      </c>
      <c r="B8" s="31">
        <f>SUM([1]vee!$F$434)</f>
        <v>20300</v>
      </c>
      <c r="C8" s="7">
        <f t="shared" si="0"/>
        <v>5.9873041806014033E-4</v>
      </c>
      <c r="D8" s="33">
        <f>SUM([1]vee!$J$434)</f>
        <v>11713.46</v>
      </c>
      <c r="E8" s="7">
        <f t="shared" si="9"/>
        <v>57.701773399014776</v>
      </c>
      <c r="F8" s="8">
        <f t="shared" si="10"/>
        <v>8586.5400000000009</v>
      </c>
      <c r="G8" s="7">
        <f t="shared" si="11"/>
        <v>42.298226600985231</v>
      </c>
      <c r="H8" s="33">
        <f>SUM([1]vee!$N$434)</f>
        <v>20300</v>
      </c>
      <c r="I8" s="9">
        <f t="shared" si="12"/>
        <v>100</v>
      </c>
      <c r="J8" s="31">
        <f>SUM([1]vee!$F$885)</f>
        <v>479700</v>
      </c>
      <c r="K8" s="7">
        <f t="shared" si="1"/>
        <v>9.1169653110326036E-3</v>
      </c>
      <c r="L8" s="33">
        <f>SUM([1]vee!$J$885)</f>
        <v>0</v>
      </c>
      <c r="M8" s="7">
        <f t="shared" si="13"/>
        <v>0</v>
      </c>
      <c r="N8" s="8">
        <f t="shared" si="14"/>
        <v>2976.4009999999998</v>
      </c>
      <c r="O8" s="7">
        <f t="shared" si="15"/>
        <v>0.62047133625182405</v>
      </c>
      <c r="P8" s="33">
        <f>SUM([1]vee!$N$885)</f>
        <v>2976.4009999999998</v>
      </c>
      <c r="Q8" s="9">
        <f t="shared" si="16"/>
        <v>0.62047133625182405</v>
      </c>
      <c r="R8" s="6">
        <f>SUM(B8+J8)</f>
        <v>500000</v>
      </c>
      <c r="S8" s="7">
        <f t="shared" si="2"/>
        <v>5.778925956438666E-3</v>
      </c>
      <c r="T8" s="6">
        <f>SUM(D8+L8)</f>
        <v>11713.46</v>
      </c>
      <c r="U8" s="7">
        <f t="shared" si="17"/>
        <v>2.3426919999999996</v>
      </c>
      <c r="V8" s="8">
        <f t="shared" si="18"/>
        <v>11562.940999999999</v>
      </c>
      <c r="W8" s="7">
        <f t="shared" si="19"/>
        <v>2.3125881999999995</v>
      </c>
      <c r="X8" s="6">
        <f>SUM(H8+P8)</f>
        <v>23276.400999999998</v>
      </c>
      <c r="Y8" s="9">
        <f t="shared" si="20"/>
        <v>4.6552802</v>
      </c>
      <c r="Z8" s="6"/>
      <c r="AA8" s="7"/>
      <c r="AB8" s="8"/>
      <c r="AC8" s="7"/>
      <c r="AD8" s="8"/>
      <c r="AE8" s="7"/>
      <c r="AF8" s="8"/>
      <c r="AG8" s="9"/>
      <c r="AH8" s="31">
        <f>SUM([1]vee!$F$1787)</f>
        <v>0</v>
      </c>
      <c r="AI8" s="7">
        <f t="shared" si="3"/>
        <v>0</v>
      </c>
      <c r="AJ8" s="33">
        <f>SUM([1]vee!$J$1787)</f>
        <v>0</v>
      </c>
      <c r="AK8" s="7">
        <f t="shared" si="21"/>
        <v>0</v>
      </c>
      <c r="AL8" s="8">
        <f t="shared" si="22"/>
        <v>0</v>
      </c>
      <c r="AM8" s="7">
        <f t="shared" si="23"/>
        <v>0</v>
      </c>
      <c r="AN8" s="33">
        <f>SUM([1]vee!$N$1787)</f>
        <v>0</v>
      </c>
      <c r="AO8" s="9">
        <f t="shared" si="24"/>
        <v>0</v>
      </c>
      <c r="AP8" s="31">
        <f>SUM([1]vee!$F$1801)</f>
        <v>0</v>
      </c>
      <c r="AQ8" s="7">
        <f t="shared" si="4"/>
        <v>0</v>
      </c>
      <c r="AR8" s="33">
        <f>SUM([1]vee!$J$1801)</f>
        <v>0</v>
      </c>
      <c r="AS8" s="7">
        <f t="shared" si="25"/>
        <v>0</v>
      </c>
      <c r="AT8" s="8">
        <f t="shared" si="26"/>
        <v>0</v>
      </c>
      <c r="AU8" s="7">
        <f t="shared" si="27"/>
        <v>0</v>
      </c>
      <c r="AV8" s="33">
        <f>SUM([1]vee!$N$1801)</f>
        <v>0</v>
      </c>
      <c r="AW8" s="9">
        <f t="shared" si="28"/>
        <v>0</v>
      </c>
      <c r="AX8" s="6"/>
      <c r="AY8" s="7">
        <f t="shared" si="5"/>
        <v>0</v>
      </c>
      <c r="AZ8" s="6"/>
      <c r="BA8" s="7">
        <f t="shared" si="29"/>
        <v>0</v>
      </c>
      <c r="BB8" s="8"/>
      <c r="BC8" s="7">
        <f t="shared" si="30"/>
        <v>0</v>
      </c>
      <c r="BD8" s="6"/>
      <c r="BE8" s="9">
        <f t="shared" si="31"/>
        <v>0</v>
      </c>
      <c r="BF8" s="31">
        <f>SUM([1]vee!$D$432)</f>
        <v>500000</v>
      </c>
      <c r="BG8" s="8">
        <f>SUM(R8+Z8+AH8+AP8+AX8)</f>
        <v>500000</v>
      </c>
      <c r="BH8" s="10">
        <f t="shared" si="6"/>
        <v>3.5231985382158425E-3</v>
      </c>
      <c r="BI8" s="6">
        <f>SUM([2]veed!$H$320)</f>
        <v>0</v>
      </c>
      <c r="BJ8" s="8">
        <f>SUM(BG8-BI8)</f>
        <v>500000</v>
      </c>
      <c r="BK8" s="8">
        <f>SUM(T8+AB8+AJ8+AR8+AZ8)</f>
        <v>11713.46</v>
      </c>
      <c r="BL8" s="7">
        <f>IF(OR(BK8=0,BG8=0),0,BK8/BG8)*100</f>
        <v>2.3426919999999996</v>
      </c>
      <c r="BM8" s="8">
        <f>SUM(V8+AD8+AL8+AT8+BB8)</f>
        <v>11562.940999999999</v>
      </c>
      <c r="BN8" s="7">
        <f t="shared" si="7"/>
        <v>2.3125881999999995</v>
      </c>
      <c r="BO8" s="11">
        <f t="shared" si="8"/>
        <v>23276.400999999998</v>
      </c>
      <c r="BP8" s="9">
        <f t="shared" si="32"/>
        <v>4.6552802</v>
      </c>
    </row>
    <row r="9" spans="1:68" x14ac:dyDescent="0.2">
      <c r="A9" s="5" t="s">
        <v>25</v>
      </c>
      <c r="B9" s="31">
        <f>SUM([1]gob!$F$434)</f>
        <v>28004099.994000003</v>
      </c>
      <c r="C9" s="7">
        <f t="shared" si="0"/>
        <v>0.82595598506431511</v>
      </c>
      <c r="D9" s="33">
        <f>SUM([1]gob!$J$434)</f>
        <v>16246497.408</v>
      </c>
      <c r="E9" s="7">
        <f t="shared" si="9"/>
        <v>58.014710029891624</v>
      </c>
      <c r="F9" s="8">
        <f t="shared" si="10"/>
        <v>11680804.586000003</v>
      </c>
      <c r="G9" s="7">
        <f t="shared" si="11"/>
        <v>41.711051554960399</v>
      </c>
      <c r="H9" s="33">
        <f>SUM([1]gob!$N$434)</f>
        <v>27927301.994000003</v>
      </c>
      <c r="I9" s="9">
        <f t="shared" si="12"/>
        <v>99.725761584852023</v>
      </c>
      <c r="J9" s="31">
        <f>SUM([1]gob!$F$885)</f>
        <v>26776927.097999997</v>
      </c>
      <c r="K9" s="7">
        <f t="shared" si="1"/>
        <v>0.5089103929299873</v>
      </c>
      <c r="L9" s="33">
        <f>SUM([1]gob!$J$885)</f>
        <v>272892.24800000002</v>
      </c>
      <c r="M9" s="7">
        <f t="shared" si="13"/>
        <v>1.0191320572418583</v>
      </c>
      <c r="N9" s="8">
        <f t="shared" si="14"/>
        <v>4066336.372</v>
      </c>
      <c r="O9" s="7">
        <f t="shared" si="15"/>
        <v>15.18597095595678</v>
      </c>
      <c r="P9" s="33">
        <f>SUM([1]gob!$N$885)</f>
        <v>4339228.62</v>
      </c>
      <c r="Q9" s="9">
        <f t="shared" si="16"/>
        <v>16.205103013198638</v>
      </c>
      <c r="R9" s="6">
        <f>SUM(B9+J9)</f>
        <v>54781027.092</v>
      </c>
      <c r="S9" s="7">
        <f t="shared" si="2"/>
        <v>0.63315099876465708</v>
      </c>
      <c r="T9" s="6">
        <f>SUM(D9+L9)</f>
        <v>16519389.655999999</v>
      </c>
      <c r="U9" s="7">
        <f t="shared" si="17"/>
        <v>30.155312035784053</v>
      </c>
      <c r="V9" s="8">
        <f t="shared" si="18"/>
        <v>15747140.958000004</v>
      </c>
      <c r="W9" s="7">
        <f t="shared" si="19"/>
        <v>28.745611015204304</v>
      </c>
      <c r="X9" s="6">
        <f>SUM(H9+P9)</f>
        <v>32266530.614000004</v>
      </c>
      <c r="Y9" s="9">
        <f t="shared" si="20"/>
        <v>58.900923050988354</v>
      </c>
      <c r="Z9" s="6"/>
      <c r="AA9" s="7"/>
      <c r="AB9" s="8"/>
      <c r="AC9" s="7"/>
      <c r="AD9" s="8"/>
      <c r="AE9" s="7"/>
      <c r="AF9" s="8"/>
      <c r="AG9" s="9"/>
      <c r="AH9" s="31">
        <f>SUM([1]gob!$F$1787)</f>
        <v>4142102</v>
      </c>
      <c r="AI9" s="7">
        <f t="shared" si="3"/>
        <v>0.524998374602059</v>
      </c>
      <c r="AJ9" s="33">
        <f>SUM([1]gob!$J$1787)</f>
        <v>1672765.6370000001</v>
      </c>
      <c r="AK9" s="7">
        <f t="shared" si="21"/>
        <v>40.384462695510635</v>
      </c>
      <c r="AL9" s="8">
        <f t="shared" si="22"/>
        <v>0</v>
      </c>
      <c r="AM9" s="7">
        <f t="shared" si="23"/>
        <v>0</v>
      </c>
      <c r="AN9" s="33">
        <f>SUM([1]gob!$N$1787)</f>
        <v>1672765.6370000001</v>
      </c>
      <c r="AO9" s="9">
        <f t="shared" si="24"/>
        <v>40.384462695510635</v>
      </c>
      <c r="AP9" s="31">
        <f>SUM([1]gob!$F$1801)</f>
        <v>19745925.907999996</v>
      </c>
      <c r="AQ9" s="7">
        <f t="shared" si="4"/>
        <v>2.115965490041817</v>
      </c>
      <c r="AR9" s="33">
        <f>SUM([1]gob!$J$1801)</f>
        <v>13459571.705999998</v>
      </c>
      <c r="AS9" s="7">
        <f t="shared" si="25"/>
        <v>68.163791197792847</v>
      </c>
      <c r="AT9" s="8">
        <f t="shared" si="26"/>
        <v>6205325.5510000009</v>
      </c>
      <c r="AU9" s="7">
        <f t="shared" si="27"/>
        <v>31.425852501988444</v>
      </c>
      <c r="AV9" s="33">
        <f>SUM([1]gob!$N$1801)</f>
        <v>19664897.256999999</v>
      </c>
      <c r="AW9" s="9">
        <f t="shared" si="28"/>
        <v>99.589643699781291</v>
      </c>
      <c r="AX9" s="6"/>
      <c r="AY9" s="7">
        <f t="shared" si="5"/>
        <v>0</v>
      </c>
      <c r="AZ9" s="6"/>
      <c r="BA9" s="7">
        <f t="shared" si="29"/>
        <v>0</v>
      </c>
      <c r="BB9" s="8"/>
      <c r="BC9" s="7">
        <f t="shared" si="30"/>
        <v>0</v>
      </c>
      <c r="BD9" s="6"/>
      <c r="BE9" s="9">
        <f t="shared" si="31"/>
        <v>0</v>
      </c>
      <c r="BF9" s="31">
        <f>SUM([1]gob!$D$432)</f>
        <v>78669055</v>
      </c>
      <c r="BG9" s="8">
        <f>SUM(R9+Z9+AH9+AP9+AX9)</f>
        <v>78669055</v>
      </c>
      <c r="BH9" s="10">
        <f t="shared" si="6"/>
        <v>0.55433339915764335</v>
      </c>
      <c r="BI9" s="6">
        <f>SUM([2]gobi!$H$320)</f>
        <v>0</v>
      </c>
      <c r="BJ9" s="8">
        <f>SUM(BG9-BI9)</f>
        <v>78669055</v>
      </c>
      <c r="BK9" s="8">
        <f>SUM(T9+AB9+AJ9+AR9+AZ9)</f>
        <v>31651726.998999998</v>
      </c>
      <c r="BL9" s="7">
        <f>IF(OR(BK9=0,BG9=0),0,BK9/BG9)*100</f>
        <v>40.234024673361077</v>
      </c>
      <c r="BM9" s="8">
        <f>SUM(V9+AD9+AL9+AT9+BB9)</f>
        <v>21952466.509000003</v>
      </c>
      <c r="BN9" s="7">
        <f t="shared" si="7"/>
        <v>27.904830570292223</v>
      </c>
      <c r="BO9" s="11">
        <f t="shared" si="8"/>
        <v>53604193.508000001</v>
      </c>
      <c r="BP9" s="9">
        <f t="shared" si="32"/>
        <v>68.13885524365331</v>
      </c>
    </row>
    <row r="10" spans="1:68" x14ac:dyDescent="0.2">
      <c r="A10" s="5" t="s">
        <v>26</v>
      </c>
      <c r="B10" s="6">
        <f>SUM(B11:B14)</f>
        <v>9575452.2080000043</v>
      </c>
      <c r="C10" s="7">
        <f t="shared" si="0"/>
        <v>0.28241943367540573</v>
      </c>
      <c r="D10" s="8">
        <f>SUM(D11:D14)</f>
        <v>5623038.5650000004</v>
      </c>
      <c r="E10" s="7">
        <f t="shared" si="9"/>
        <v>58.723477939789824</v>
      </c>
      <c r="F10" s="8">
        <f t="shared" si="10"/>
        <v>3942544.9989999989</v>
      </c>
      <c r="G10" s="7">
        <f t="shared" si="11"/>
        <v>41.173460149549072</v>
      </c>
      <c r="H10" s="8">
        <f>SUM(H11:H14)</f>
        <v>9565583.5639999993</v>
      </c>
      <c r="I10" s="9">
        <f t="shared" si="12"/>
        <v>99.896938089338903</v>
      </c>
      <c r="J10" s="6">
        <f>SUM(J11:J14)</f>
        <v>37238948.796000004</v>
      </c>
      <c r="K10" s="7">
        <f t="shared" si="1"/>
        <v>0.70774693431822255</v>
      </c>
      <c r="L10" s="8">
        <f>SUM(L11:L14)</f>
        <v>2924743.9870000002</v>
      </c>
      <c r="M10" s="7">
        <f t="shared" si="13"/>
        <v>7.8539918057895326</v>
      </c>
      <c r="N10" s="8">
        <f t="shared" si="14"/>
        <v>1508799.5819999999</v>
      </c>
      <c r="O10" s="7">
        <f t="shared" si="15"/>
        <v>4.0516707124720632</v>
      </c>
      <c r="P10" s="8">
        <f>SUM(P11:P14)</f>
        <v>4433543.5690000001</v>
      </c>
      <c r="Q10" s="9">
        <f t="shared" si="16"/>
        <v>11.905662518261595</v>
      </c>
      <c r="R10" s="6">
        <f>SUM(R11:R14)</f>
        <v>46814401.004000008</v>
      </c>
      <c r="S10" s="7">
        <f t="shared" si="2"/>
        <v>0.54107391419428796</v>
      </c>
      <c r="T10" s="6">
        <f>SUM(T11:T14)</f>
        <v>8547782.5520000011</v>
      </c>
      <c r="U10" s="7">
        <f t="shared" si="17"/>
        <v>18.258874125655574</v>
      </c>
      <c r="V10" s="8">
        <f t="shared" si="18"/>
        <v>5451344.5809999984</v>
      </c>
      <c r="W10" s="7">
        <f t="shared" si="19"/>
        <v>11.644588981356856</v>
      </c>
      <c r="X10" s="6">
        <f>SUM(X11:X14)</f>
        <v>13999127.132999999</v>
      </c>
      <c r="Y10" s="9">
        <f t="shared" si="20"/>
        <v>29.903463107012428</v>
      </c>
      <c r="Z10" s="6">
        <f>SUM(Z11:Z14)</f>
        <v>3707867143</v>
      </c>
      <c r="AA10" s="7">
        <f>IF(OR(Z10=0,Z$84=0),0,Z10/Z$84)*100</f>
        <v>95.070405570917146</v>
      </c>
      <c r="AB10" s="8">
        <f>SUM(AB11:AB14)</f>
        <v>382385357.241</v>
      </c>
      <c r="AC10" s="7">
        <f t="shared" ref="AC10:AC67" si="33">IF(OR(AB10=0,Z10=0),0,AB10/Z10)*100</f>
        <v>10.312811718804349</v>
      </c>
      <c r="AD10" s="8">
        <f>SUM(AF10-AB10)</f>
        <v>0</v>
      </c>
      <c r="AE10" s="7">
        <f t="shared" ref="AE10:AE67" si="34">IF(OR(AD10=0,Z10=0),0,AD10/Z10)*100</f>
        <v>0</v>
      </c>
      <c r="AF10" s="8">
        <f>SUM(AF11:AF14)</f>
        <v>382385357.241</v>
      </c>
      <c r="AG10" s="9">
        <f t="shared" ref="AG10:AG67" si="35">IF(OR(AF10=0,Z10=0),0,AF10/Z10)*100</f>
        <v>10.312811718804349</v>
      </c>
      <c r="AH10" s="6">
        <f>SUM(AH11:AH14)</f>
        <v>59050.995999999999</v>
      </c>
      <c r="AI10" s="7">
        <f t="shared" si="3"/>
        <v>7.484527642881004E-3</v>
      </c>
      <c r="AJ10" s="8">
        <f>SUM(AJ11:AJ14)</f>
        <v>30640.995999999999</v>
      </c>
      <c r="AK10" s="7">
        <f t="shared" si="21"/>
        <v>51.88904180379955</v>
      </c>
      <c r="AL10" s="8">
        <f t="shared" si="22"/>
        <v>0</v>
      </c>
      <c r="AM10" s="7">
        <f t="shared" si="23"/>
        <v>0</v>
      </c>
      <c r="AN10" s="8">
        <f>SUM(AN11:AN14)</f>
        <v>30640.995999999999</v>
      </c>
      <c r="AO10" s="9">
        <f t="shared" si="24"/>
        <v>51.88904180379955</v>
      </c>
      <c r="AP10" s="6">
        <f>SUM(AP11:AP14)</f>
        <v>9388817.977</v>
      </c>
      <c r="AQ10" s="7">
        <f t="shared" si="4"/>
        <v>1.0061019637254598</v>
      </c>
      <c r="AR10" s="8">
        <f>SUM(AR11:AR14)</f>
        <v>6878231.1659999993</v>
      </c>
      <c r="AS10" s="7">
        <f t="shared" si="25"/>
        <v>73.259820169586405</v>
      </c>
      <c r="AT10" s="8">
        <f t="shared" si="26"/>
        <v>2489230.3230000008</v>
      </c>
      <c r="AU10" s="7">
        <f t="shared" si="27"/>
        <v>26.512712559748465</v>
      </c>
      <c r="AV10" s="8">
        <f>SUM(AV11:AV14)</f>
        <v>9367461.4890000001</v>
      </c>
      <c r="AW10" s="9">
        <f t="shared" si="28"/>
        <v>99.772532729334856</v>
      </c>
      <c r="AX10" s="6"/>
      <c r="AY10" s="7">
        <f t="shared" si="5"/>
        <v>0</v>
      </c>
      <c r="AZ10" s="6"/>
      <c r="BA10" s="7">
        <f t="shared" si="29"/>
        <v>0</v>
      </c>
      <c r="BB10" s="8"/>
      <c r="BC10" s="7">
        <f t="shared" si="30"/>
        <v>0</v>
      </c>
      <c r="BD10" s="6"/>
      <c r="BE10" s="9">
        <f t="shared" si="31"/>
        <v>0</v>
      </c>
      <c r="BF10" s="6">
        <f>SUM(BF11:BF14)</f>
        <v>3764342397</v>
      </c>
      <c r="BG10" s="8">
        <f>SUM(BG11:BG14)</f>
        <v>3764129412.9770002</v>
      </c>
      <c r="BH10" s="10">
        <f t="shared" si="6"/>
        <v>26.523550490911646</v>
      </c>
      <c r="BI10" s="6">
        <f>SUM(BI11:BI14)</f>
        <v>0</v>
      </c>
      <c r="BJ10" s="8">
        <f>SUM(BJ11:BJ14)</f>
        <v>3764129412.9770002</v>
      </c>
      <c r="BK10" s="8">
        <f>SUM(BK11:BK14)</f>
        <v>397842011.95499998</v>
      </c>
      <c r="BL10" s="7">
        <f t="shared" ref="BL10:BL70" si="36">IF(OR(BK10=0,BG10=0),0,BK10/BG10)*100</f>
        <v>10.569296862733314</v>
      </c>
      <c r="BM10" s="8">
        <f>SUM(F10+AD10+AL10+AT10+BB10)</f>
        <v>6431775.3219999997</v>
      </c>
      <c r="BN10" s="7">
        <f t="shared" si="7"/>
        <v>0.17087019643443113</v>
      </c>
      <c r="BO10" s="11">
        <f t="shared" si="8"/>
        <v>404273787.27700001</v>
      </c>
      <c r="BP10" s="9">
        <f t="shared" si="32"/>
        <v>10.740167059167746</v>
      </c>
    </row>
    <row r="11" spans="1:68" x14ac:dyDescent="0.2">
      <c r="A11" s="5" t="s">
        <v>27</v>
      </c>
      <c r="B11" s="31">
        <f>SUM([1]cor!$F$434)</f>
        <v>9575452.2080000043</v>
      </c>
      <c r="C11" s="7">
        <f t="shared" si="0"/>
        <v>0.28241943367540573</v>
      </c>
      <c r="D11" s="33">
        <f>SUM([1]cor!$J$434)</f>
        <v>5623038.5650000004</v>
      </c>
      <c r="E11" s="7">
        <f t="shared" si="9"/>
        <v>58.723477939789824</v>
      </c>
      <c r="F11" s="8">
        <f t="shared" si="10"/>
        <v>3942544.9989999989</v>
      </c>
      <c r="G11" s="7">
        <f t="shared" si="11"/>
        <v>41.173460149549072</v>
      </c>
      <c r="H11" s="33">
        <f>SUM([1]cor!$N$434)</f>
        <v>9565583.5639999993</v>
      </c>
      <c r="I11" s="9">
        <f t="shared" si="12"/>
        <v>99.896938089338903</v>
      </c>
      <c r="J11" s="31">
        <f>SUM([1]cor!$F$885)</f>
        <v>28243948.796</v>
      </c>
      <c r="K11" s="7">
        <f t="shared" si="1"/>
        <v>0.53679195626373377</v>
      </c>
      <c r="L11" s="33">
        <f>SUM([1]cor!$J$885)</f>
        <v>2924743.9870000002</v>
      </c>
      <c r="M11" s="7">
        <f t="shared" si="13"/>
        <v>10.355294183985391</v>
      </c>
      <c r="N11" s="8">
        <f t="shared" si="14"/>
        <v>1508799.5819999999</v>
      </c>
      <c r="O11" s="7">
        <f t="shared" si="15"/>
        <v>5.3420277486612679</v>
      </c>
      <c r="P11" s="33">
        <f>SUM([1]cor!$N$885)</f>
        <v>4433543.5690000001</v>
      </c>
      <c r="Q11" s="9">
        <f t="shared" si="16"/>
        <v>15.697321932646661</v>
      </c>
      <c r="R11" s="6">
        <f t="shared" ref="R11:R27" si="37">SUM(B11+J11)</f>
        <v>37819401.004000008</v>
      </c>
      <c r="S11" s="7">
        <f t="shared" si="2"/>
        <v>0.43711103623795639</v>
      </c>
      <c r="T11" s="6">
        <f t="shared" ref="T11:T27" si="38">SUM(D11+L11)</f>
        <v>8547782.5520000011</v>
      </c>
      <c r="U11" s="7">
        <f t="shared" si="17"/>
        <v>22.601581000968089</v>
      </c>
      <c r="V11" s="8">
        <f t="shared" si="18"/>
        <v>5451344.5809999984</v>
      </c>
      <c r="W11" s="7">
        <f t="shared" si="19"/>
        <v>14.414148390196427</v>
      </c>
      <c r="X11" s="6">
        <f t="shared" ref="X11:X27" si="39">SUM(H11+P11)</f>
        <v>13999127.132999999</v>
      </c>
      <c r="Y11" s="9">
        <f t="shared" si="20"/>
        <v>37.015729391164513</v>
      </c>
      <c r="Z11" s="6"/>
      <c r="AA11" s="7"/>
      <c r="AB11" s="8"/>
      <c r="AC11" s="7"/>
      <c r="AD11" s="8"/>
      <c r="AE11" s="7"/>
      <c r="AF11" s="8"/>
      <c r="AG11" s="9"/>
      <c r="AH11" s="31">
        <f>SUM([1]cor!$F$1787)</f>
        <v>30640.995999999999</v>
      </c>
      <c r="AI11" s="7">
        <f t="shared" si="3"/>
        <v>3.8836496774314567E-3</v>
      </c>
      <c r="AJ11" s="33">
        <f>SUM([1]cor!$J$1787)</f>
        <v>30640.995999999999</v>
      </c>
      <c r="AK11" s="7">
        <f t="shared" si="21"/>
        <v>100</v>
      </c>
      <c r="AL11" s="8">
        <f t="shared" si="22"/>
        <v>0</v>
      </c>
      <c r="AM11" s="7">
        <f t="shared" si="23"/>
        <v>0</v>
      </c>
      <c r="AN11" s="33">
        <f>SUM([1]cor!$N$1787)</f>
        <v>30640.995999999999</v>
      </c>
      <c r="AO11" s="9">
        <f t="shared" si="24"/>
        <v>100</v>
      </c>
      <c r="AP11" s="31">
        <f>SUM([1]cor!$F$1801)</f>
        <v>8887739</v>
      </c>
      <c r="AQ11" s="7">
        <f t="shared" si="4"/>
        <v>0.95240654179095852</v>
      </c>
      <c r="AR11" s="33">
        <f>SUM([1]cor!$J$1801)</f>
        <v>6716930.9059999995</v>
      </c>
      <c r="AS11" s="7">
        <f t="shared" si="25"/>
        <v>75.575249295687001</v>
      </c>
      <c r="AT11" s="8">
        <f t="shared" si="26"/>
        <v>2149451.6060000006</v>
      </c>
      <c r="AU11" s="7">
        <f t="shared" si="27"/>
        <v>24.18445912959416</v>
      </c>
      <c r="AV11" s="33">
        <f>SUM([1]cor!$N$1801)</f>
        <v>8866382.5120000001</v>
      </c>
      <c r="AW11" s="9">
        <f t="shared" si="28"/>
        <v>99.759708425281161</v>
      </c>
      <c r="AX11" s="6"/>
      <c r="AY11" s="7">
        <f t="shared" si="5"/>
        <v>0</v>
      </c>
      <c r="AZ11" s="6"/>
      <c r="BA11" s="7">
        <f t="shared" si="29"/>
        <v>0</v>
      </c>
      <c r="BB11" s="8"/>
      <c r="BC11" s="7">
        <f t="shared" si="30"/>
        <v>0</v>
      </c>
      <c r="BD11" s="6"/>
      <c r="BE11" s="9">
        <f t="shared" si="31"/>
        <v>0</v>
      </c>
      <c r="BF11" s="31">
        <f>SUM([1]cor!$D$432)</f>
        <v>52387781</v>
      </c>
      <c r="BG11" s="8">
        <f t="shared" ref="BG11:BG27" si="40">SUM(R11+Z11+AH11+AP11+AX11)</f>
        <v>46737781.000000007</v>
      </c>
      <c r="BH11" s="10">
        <f t="shared" si="6"/>
        <v>0.32933296339730439</v>
      </c>
      <c r="BI11" s="6">
        <f>SUM([2]corp!$H$320)</f>
        <v>0</v>
      </c>
      <c r="BJ11" s="8">
        <f t="shared" ref="BJ11:BJ27" si="41">SUM(BG11-BI11)</f>
        <v>46737781.000000007</v>
      </c>
      <c r="BK11" s="8">
        <f t="shared" ref="BK11:BK27" si="42">SUM(T11+AB11+AJ11+AR11+AZ11)</f>
        <v>15295354.454</v>
      </c>
      <c r="BL11" s="7">
        <f t="shared" si="36"/>
        <v>32.725889262907017</v>
      </c>
      <c r="BM11" s="8">
        <f t="shared" ref="BM11:BM27" si="43">SUM(V11+AD11+AL11+AT11+BB11)</f>
        <v>7600796.186999999</v>
      </c>
      <c r="BN11" s="7">
        <f t="shared" si="7"/>
        <v>16.262638114975971</v>
      </c>
      <c r="BO11" s="11">
        <f t="shared" si="8"/>
        <v>22896150.640999999</v>
      </c>
      <c r="BP11" s="9">
        <f t="shared" si="32"/>
        <v>48.988527377882988</v>
      </c>
    </row>
    <row r="12" spans="1:68" x14ac:dyDescent="0.2">
      <c r="A12" s="5" t="s">
        <v>28</v>
      </c>
      <c r="B12" s="31">
        <f>SUM([1]pto!$F$434)</f>
        <v>0</v>
      </c>
      <c r="C12" s="7">
        <f t="shared" si="0"/>
        <v>0</v>
      </c>
      <c r="D12" s="33">
        <f>SUM([1]pto!$J$434)</f>
        <v>0</v>
      </c>
      <c r="E12" s="7">
        <f t="shared" si="9"/>
        <v>0</v>
      </c>
      <c r="F12" s="8">
        <f t="shared" si="10"/>
        <v>0</v>
      </c>
      <c r="G12" s="7">
        <f t="shared" si="11"/>
        <v>0</v>
      </c>
      <c r="H12" s="33">
        <f>SUM([1]pto!$N$434)</f>
        <v>0</v>
      </c>
      <c r="I12" s="9">
        <f t="shared" si="12"/>
        <v>0</v>
      </c>
      <c r="J12" s="31">
        <f>SUM([1]pto!$F$885)</f>
        <v>0</v>
      </c>
      <c r="K12" s="7">
        <f t="shared" si="1"/>
        <v>0</v>
      </c>
      <c r="L12" s="33">
        <f>SUM([1]pto!$J$885)</f>
        <v>0</v>
      </c>
      <c r="M12" s="7">
        <f t="shared" si="13"/>
        <v>0</v>
      </c>
      <c r="N12" s="8">
        <f t="shared" si="14"/>
        <v>0</v>
      </c>
      <c r="O12" s="7">
        <f t="shared" si="15"/>
        <v>0</v>
      </c>
      <c r="P12" s="33">
        <f>SUM([1]pto!$N$885)</f>
        <v>0</v>
      </c>
      <c r="Q12" s="9">
        <f t="shared" si="16"/>
        <v>0</v>
      </c>
      <c r="R12" s="6">
        <f t="shared" si="37"/>
        <v>0</v>
      </c>
      <c r="S12" s="7">
        <f t="shared" si="2"/>
        <v>0</v>
      </c>
      <c r="T12" s="6">
        <f t="shared" si="38"/>
        <v>0</v>
      </c>
      <c r="U12" s="7">
        <f t="shared" si="17"/>
        <v>0</v>
      </c>
      <c r="V12" s="8">
        <f t="shared" si="18"/>
        <v>0</v>
      </c>
      <c r="W12" s="7">
        <f t="shared" si="19"/>
        <v>0</v>
      </c>
      <c r="X12" s="6">
        <f t="shared" si="39"/>
        <v>0</v>
      </c>
      <c r="Y12" s="9">
        <f t="shared" si="20"/>
        <v>0</v>
      </c>
      <c r="Z12" s="6">
        <f>SUM([1]pto!$F$1628)</f>
        <v>3707867143</v>
      </c>
      <c r="AA12" s="7">
        <f>IF(OR(Z12=0,Z$84=0),0,Z12/Z$84)*100</f>
        <v>95.070405570917146</v>
      </c>
      <c r="AB12" s="8">
        <f>SUM([1]pto!$J$1628)</f>
        <v>382385357.241</v>
      </c>
      <c r="AC12" s="7">
        <f t="shared" si="33"/>
        <v>10.312811718804349</v>
      </c>
      <c r="AD12" s="8">
        <f>SUM(AF12-AB12)</f>
        <v>0</v>
      </c>
      <c r="AE12" s="7">
        <f t="shared" si="34"/>
        <v>0</v>
      </c>
      <c r="AF12" s="8">
        <f>SUM([1]pto!$N$1628)</f>
        <v>382385357.241</v>
      </c>
      <c r="AG12" s="9">
        <f t="shared" si="35"/>
        <v>10.312811718804349</v>
      </c>
      <c r="AH12" s="31">
        <f>SUM([1]pto!$F$1787)</f>
        <v>0</v>
      </c>
      <c r="AI12" s="7">
        <f t="shared" si="3"/>
        <v>0</v>
      </c>
      <c r="AJ12" s="33">
        <f>SUM([1]pto!$J$1787)</f>
        <v>0</v>
      </c>
      <c r="AK12" s="7">
        <f t="shared" si="21"/>
        <v>0</v>
      </c>
      <c r="AL12" s="8">
        <f t="shared" si="22"/>
        <v>0</v>
      </c>
      <c r="AM12" s="7">
        <f t="shared" si="23"/>
        <v>0</v>
      </c>
      <c r="AN12" s="33">
        <f>SUM([1]pto!$N$1787)</f>
        <v>0</v>
      </c>
      <c r="AO12" s="9">
        <f t="shared" si="24"/>
        <v>0</v>
      </c>
      <c r="AP12" s="31">
        <f>SUM([1]pto!$F$1801)</f>
        <v>0</v>
      </c>
      <c r="AQ12" s="7">
        <f t="shared" si="4"/>
        <v>0</v>
      </c>
      <c r="AR12" s="33">
        <f>SUM([1]pto!$J$1801)</f>
        <v>0</v>
      </c>
      <c r="AS12" s="7">
        <f t="shared" si="25"/>
        <v>0</v>
      </c>
      <c r="AT12" s="8">
        <f t="shared" si="26"/>
        <v>0</v>
      </c>
      <c r="AU12" s="7">
        <f t="shared" si="27"/>
        <v>0</v>
      </c>
      <c r="AV12" s="33">
        <f>SUM([1]pto!$N$1801)</f>
        <v>0</v>
      </c>
      <c r="AW12" s="9">
        <f t="shared" si="28"/>
        <v>0</v>
      </c>
      <c r="AX12" s="6"/>
      <c r="AY12" s="7">
        <f t="shared" si="5"/>
        <v>0</v>
      </c>
      <c r="AZ12" s="6"/>
      <c r="BA12" s="7">
        <f t="shared" si="29"/>
        <v>0</v>
      </c>
      <c r="BB12" s="8"/>
      <c r="BC12" s="7">
        <f t="shared" si="30"/>
        <v>0</v>
      </c>
      <c r="BD12" s="6"/>
      <c r="BE12" s="9">
        <f t="shared" si="31"/>
        <v>0</v>
      </c>
      <c r="BF12" s="31">
        <f>SUM([1]pto!$D$432)</f>
        <v>3707867143</v>
      </c>
      <c r="BG12" s="8">
        <f t="shared" si="40"/>
        <v>3707867143</v>
      </c>
      <c r="BH12" s="10">
        <f t="shared" si="6"/>
        <v>26.127104196232303</v>
      </c>
      <c r="BI12" s="6">
        <f>SUM([2]ppto!$H$320)</f>
        <v>0</v>
      </c>
      <c r="BJ12" s="8">
        <f t="shared" si="41"/>
        <v>3707867143</v>
      </c>
      <c r="BK12" s="8">
        <f t="shared" si="42"/>
        <v>382385357.241</v>
      </c>
      <c r="BL12" s="7">
        <f t="shared" si="36"/>
        <v>10.312811718804349</v>
      </c>
      <c r="BM12" s="8">
        <f t="shared" si="43"/>
        <v>0</v>
      </c>
      <c r="BN12" s="7">
        <f t="shared" si="7"/>
        <v>0</v>
      </c>
      <c r="BO12" s="11">
        <f t="shared" si="8"/>
        <v>382385357.241</v>
      </c>
      <c r="BP12" s="9">
        <f t="shared" si="32"/>
        <v>10.312811718804349</v>
      </c>
    </row>
    <row r="13" spans="1:68" x14ac:dyDescent="0.2">
      <c r="A13" s="5" t="s">
        <v>29</v>
      </c>
      <c r="B13" s="31">
        <f>SUM([1]cre!$F$434)</f>
        <v>0</v>
      </c>
      <c r="C13" s="7">
        <f t="shared" si="0"/>
        <v>0</v>
      </c>
      <c r="D13" s="33">
        <f>SUM([1]cre!$J$434)</f>
        <v>0</v>
      </c>
      <c r="E13" s="7">
        <f t="shared" si="9"/>
        <v>0</v>
      </c>
      <c r="F13" s="8">
        <f t="shared" si="10"/>
        <v>0</v>
      </c>
      <c r="G13" s="7">
        <f t="shared" si="11"/>
        <v>0</v>
      </c>
      <c r="H13" s="33">
        <f>SUM([1]cre!$N$434)</f>
        <v>0</v>
      </c>
      <c r="I13" s="9">
        <f t="shared" si="12"/>
        <v>0</v>
      </c>
      <c r="J13" s="31">
        <f>SUM([1]cre!$F$885)</f>
        <v>0</v>
      </c>
      <c r="K13" s="7">
        <f t="shared" si="1"/>
        <v>0</v>
      </c>
      <c r="L13" s="33">
        <f>SUM([1]cre!$J$885)</f>
        <v>0</v>
      </c>
      <c r="M13" s="7">
        <f t="shared" si="13"/>
        <v>0</v>
      </c>
      <c r="N13" s="8">
        <f t="shared" si="14"/>
        <v>0</v>
      </c>
      <c r="O13" s="7">
        <f t="shared" si="15"/>
        <v>0</v>
      </c>
      <c r="P13" s="33">
        <f>SUM([1]cre!$N$885)</f>
        <v>0</v>
      </c>
      <c r="Q13" s="9">
        <f t="shared" si="16"/>
        <v>0</v>
      </c>
      <c r="R13" s="6">
        <f t="shared" si="37"/>
        <v>0</v>
      </c>
      <c r="S13" s="7">
        <f t="shared" si="2"/>
        <v>0</v>
      </c>
      <c r="T13" s="6">
        <f t="shared" si="38"/>
        <v>0</v>
      </c>
      <c r="U13" s="7">
        <f t="shared" si="17"/>
        <v>0</v>
      </c>
      <c r="V13" s="8">
        <f t="shared" si="18"/>
        <v>0</v>
      </c>
      <c r="W13" s="7">
        <f t="shared" si="19"/>
        <v>0</v>
      </c>
      <c r="X13" s="6">
        <f t="shared" si="39"/>
        <v>0</v>
      </c>
      <c r="Y13" s="9">
        <f t="shared" si="20"/>
        <v>0</v>
      </c>
      <c r="Z13" s="6"/>
      <c r="AA13" s="7"/>
      <c r="AB13" s="8"/>
      <c r="AC13" s="7"/>
      <c r="AD13" s="8"/>
      <c r="AE13" s="7"/>
      <c r="AF13" s="8"/>
      <c r="AG13" s="9"/>
      <c r="AH13" s="31">
        <f>SUM([1]cre!$F$1787)</f>
        <v>0</v>
      </c>
      <c r="AI13" s="7">
        <f t="shared" si="3"/>
        <v>0</v>
      </c>
      <c r="AJ13" s="33">
        <f>SUM([1]cre!$J$1787)</f>
        <v>0</v>
      </c>
      <c r="AK13" s="7">
        <f t="shared" si="21"/>
        <v>0</v>
      </c>
      <c r="AL13" s="8">
        <f t="shared" si="22"/>
        <v>0</v>
      </c>
      <c r="AM13" s="7">
        <f t="shared" si="23"/>
        <v>0</v>
      </c>
      <c r="AN13" s="33">
        <f>SUM([1]cre!$N$1787)</f>
        <v>0</v>
      </c>
      <c r="AO13" s="9">
        <f t="shared" si="24"/>
        <v>0</v>
      </c>
      <c r="AP13" s="31">
        <f>SUM([1]cre!$F$1801)</f>
        <v>0</v>
      </c>
      <c r="AQ13" s="7">
        <f t="shared" si="4"/>
        <v>0</v>
      </c>
      <c r="AR13" s="33">
        <f>SUM([1]cre!$J$1801)</f>
        <v>0</v>
      </c>
      <c r="AS13" s="7">
        <f t="shared" si="25"/>
        <v>0</v>
      </c>
      <c r="AT13" s="8">
        <f t="shared" si="26"/>
        <v>0</v>
      </c>
      <c r="AU13" s="7">
        <f t="shared" si="27"/>
        <v>0</v>
      </c>
      <c r="AV13" s="33">
        <f>SUM([1]cre!$N$1801)</f>
        <v>0</v>
      </c>
      <c r="AW13" s="9">
        <f t="shared" si="28"/>
        <v>0</v>
      </c>
      <c r="AX13" s="6"/>
      <c r="AY13" s="7">
        <f t="shared" si="5"/>
        <v>0</v>
      </c>
      <c r="AZ13" s="6"/>
      <c r="BA13" s="7">
        <f t="shared" si="29"/>
        <v>0</v>
      </c>
      <c r="BB13" s="8"/>
      <c r="BC13" s="7">
        <f t="shared" si="30"/>
        <v>0</v>
      </c>
      <c r="BD13" s="6"/>
      <c r="BE13" s="9">
        <f t="shared" si="31"/>
        <v>0</v>
      </c>
      <c r="BF13" s="31">
        <f>SUM([1]cre!$D$432)</f>
        <v>0</v>
      </c>
      <c r="BG13" s="8">
        <f t="shared" si="40"/>
        <v>0</v>
      </c>
      <c r="BH13" s="10">
        <f t="shared" si="6"/>
        <v>0</v>
      </c>
      <c r="BI13" s="6">
        <f>SUM([2]cred!$H$320)</f>
        <v>0</v>
      </c>
      <c r="BJ13" s="8">
        <f t="shared" si="41"/>
        <v>0</v>
      </c>
      <c r="BK13" s="8">
        <f t="shared" si="42"/>
        <v>0</v>
      </c>
      <c r="BL13" s="7">
        <f t="shared" si="36"/>
        <v>0</v>
      </c>
      <c r="BM13" s="8">
        <f t="shared" si="43"/>
        <v>0</v>
      </c>
      <c r="BN13" s="7">
        <f t="shared" si="7"/>
        <v>0</v>
      </c>
      <c r="BO13" s="11">
        <f t="shared" si="8"/>
        <v>0</v>
      </c>
      <c r="BP13" s="9">
        <f t="shared" si="32"/>
        <v>0</v>
      </c>
    </row>
    <row r="14" spans="1:68" x14ac:dyDescent="0.2">
      <c r="A14" s="5" t="s">
        <v>30</v>
      </c>
      <c r="B14" s="31">
        <f>SUM([1]cfc!$F$434)</f>
        <v>0</v>
      </c>
      <c r="C14" s="7">
        <f t="shared" si="0"/>
        <v>0</v>
      </c>
      <c r="D14" s="33">
        <f>SUM([1]cfc!$J$434)</f>
        <v>0</v>
      </c>
      <c r="E14" s="7">
        <f t="shared" si="9"/>
        <v>0</v>
      </c>
      <c r="F14" s="8">
        <f t="shared" si="10"/>
        <v>0</v>
      </c>
      <c r="G14" s="7">
        <f t="shared" si="11"/>
        <v>0</v>
      </c>
      <c r="H14" s="33">
        <f>SUM([1]cfc!$N$434)</f>
        <v>0</v>
      </c>
      <c r="I14" s="9">
        <f t="shared" si="12"/>
        <v>0</v>
      </c>
      <c r="J14" s="31">
        <f>SUM([1]cfc!$F$885)</f>
        <v>8995000</v>
      </c>
      <c r="K14" s="7">
        <f t="shared" si="1"/>
        <v>0.17095497805448878</v>
      </c>
      <c r="L14" s="33">
        <f>SUM([1]cfc!$J$885)</f>
        <v>0</v>
      </c>
      <c r="M14" s="7">
        <f t="shared" si="13"/>
        <v>0</v>
      </c>
      <c r="N14" s="8">
        <f t="shared" si="14"/>
        <v>0</v>
      </c>
      <c r="O14" s="7">
        <f t="shared" si="15"/>
        <v>0</v>
      </c>
      <c r="P14" s="33">
        <f>SUM([1]cfc!$N$885)</f>
        <v>0</v>
      </c>
      <c r="Q14" s="9">
        <f t="shared" si="16"/>
        <v>0</v>
      </c>
      <c r="R14" s="6">
        <f t="shared" si="37"/>
        <v>8995000</v>
      </c>
      <c r="S14" s="7">
        <f t="shared" si="2"/>
        <v>0.10396287795633159</v>
      </c>
      <c r="T14" s="6">
        <f t="shared" si="38"/>
        <v>0</v>
      </c>
      <c r="U14" s="7">
        <f t="shared" si="17"/>
        <v>0</v>
      </c>
      <c r="V14" s="8">
        <f t="shared" si="18"/>
        <v>0</v>
      </c>
      <c r="W14" s="7">
        <f t="shared" si="19"/>
        <v>0</v>
      </c>
      <c r="X14" s="6">
        <f t="shared" si="39"/>
        <v>0</v>
      </c>
      <c r="Y14" s="9">
        <f t="shared" si="20"/>
        <v>0</v>
      </c>
      <c r="Z14" s="6"/>
      <c r="AA14" s="7"/>
      <c r="AB14" s="8"/>
      <c r="AC14" s="7"/>
      <c r="AD14" s="8"/>
      <c r="AE14" s="7"/>
      <c r="AF14" s="8"/>
      <c r="AG14" s="9"/>
      <c r="AH14" s="31">
        <f>SUM([1]cfc!$F$1787)</f>
        <v>28410</v>
      </c>
      <c r="AI14" s="7">
        <f t="shared" si="3"/>
        <v>3.6008779654495464E-3</v>
      </c>
      <c r="AJ14" s="33">
        <f>SUM([1]cfc!$J$1787)</f>
        <v>0</v>
      </c>
      <c r="AK14" s="7">
        <f t="shared" si="21"/>
        <v>0</v>
      </c>
      <c r="AL14" s="8">
        <f t="shared" si="22"/>
        <v>0</v>
      </c>
      <c r="AM14" s="7">
        <f t="shared" si="23"/>
        <v>0</v>
      </c>
      <c r="AN14" s="33">
        <f>SUM([1]cfc!$N$1787)</f>
        <v>0</v>
      </c>
      <c r="AO14" s="9">
        <f t="shared" si="24"/>
        <v>0</v>
      </c>
      <c r="AP14" s="31">
        <f>SUM([1]cfc!$F$1801)</f>
        <v>501078.97700000001</v>
      </c>
      <c r="AQ14" s="7">
        <f t="shared" si="4"/>
        <v>5.369542193450115E-2</v>
      </c>
      <c r="AR14" s="33">
        <f>SUM([1]cfc!$J$1801)</f>
        <v>161300.26</v>
      </c>
      <c r="AS14" s="7">
        <f t="shared" si="25"/>
        <v>32.190586195756524</v>
      </c>
      <c r="AT14" s="8">
        <f t="shared" si="26"/>
        <v>339778.717</v>
      </c>
      <c r="AU14" s="7">
        <f t="shared" si="27"/>
        <v>67.809413804243476</v>
      </c>
      <c r="AV14" s="33">
        <f>SUM([1]cfc!$N$1801)</f>
        <v>501078.97700000001</v>
      </c>
      <c r="AW14" s="9">
        <f t="shared" si="28"/>
        <v>100</v>
      </c>
      <c r="AX14" s="6"/>
      <c r="AY14" s="7">
        <f t="shared" si="5"/>
        <v>0</v>
      </c>
      <c r="AZ14" s="6"/>
      <c r="BA14" s="7">
        <f t="shared" si="29"/>
        <v>0</v>
      </c>
      <c r="BB14" s="8"/>
      <c r="BC14" s="7">
        <f t="shared" si="30"/>
        <v>0</v>
      </c>
      <c r="BD14" s="6"/>
      <c r="BE14" s="9">
        <f t="shared" si="31"/>
        <v>0</v>
      </c>
      <c r="BF14" s="31">
        <f>SUM([1]cfc!$D$432)</f>
        <v>4087473</v>
      </c>
      <c r="BG14" s="8">
        <f t="shared" si="40"/>
        <v>9524488.977</v>
      </c>
      <c r="BH14" s="10">
        <f t="shared" si="6"/>
        <v>6.7113331282038613E-2</v>
      </c>
      <c r="BI14" s="6">
        <f>SUM([2]fcon!$H$320)</f>
        <v>0</v>
      </c>
      <c r="BJ14" s="8">
        <f t="shared" si="41"/>
        <v>9524488.977</v>
      </c>
      <c r="BK14" s="8">
        <f t="shared" si="42"/>
        <v>161300.26</v>
      </c>
      <c r="BL14" s="7">
        <f t="shared" si="36"/>
        <v>1.6935319090558281</v>
      </c>
      <c r="BM14" s="8">
        <f t="shared" si="43"/>
        <v>339778.717</v>
      </c>
      <c r="BN14" s="7">
        <f t="shared" si="7"/>
        <v>3.5674220193913508</v>
      </c>
      <c r="BO14" s="11">
        <f t="shared" si="8"/>
        <v>501078.97700000001</v>
      </c>
      <c r="BP14" s="9">
        <f t="shared" si="32"/>
        <v>5.2609539284471794</v>
      </c>
    </row>
    <row r="15" spans="1:68" x14ac:dyDescent="0.2">
      <c r="A15" s="5" t="s">
        <v>31</v>
      </c>
      <c r="B15" s="31">
        <f>SUM([1]edu!$F$434)</f>
        <v>1046810457.2339997</v>
      </c>
      <c r="C15" s="7">
        <f t="shared" si="0"/>
        <v>30.874742004405874</v>
      </c>
      <c r="D15" s="33">
        <f>SUM([1]edu!$J$434)</f>
        <v>920698186.42999947</v>
      </c>
      <c r="E15" s="7">
        <f t="shared" si="9"/>
        <v>87.952711980234866</v>
      </c>
      <c r="F15" s="8">
        <f t="shared" si="10"/>
        <v>124985196.02200019</v>
      </c>
      <c r="G15" s="7">
        <f t="shared" si="11"/>
        <v>11.939620507063918</v>
      </c>
      <c r="H15" s="33">
        <f>SUM([1]edu!$N$434)</f>
        <v>1045683382.4519997</v>
      </c>
      <c r="I15" s="9">
        <f t="shared" si="12"/>
        <v>99.892332487298788</v>
      </c>
      <c r="J15" s="31">
        <f>SUM([1]edu!$F$885)</f>
        <v>1255784265.766</v>
      </c>
      <c r="K15" s="7">
        <f t="shared" si="1"/>
        <v>23.866878443046009</v>
      </c>
      <c r="L15" s="33">
        <f>SUM([1]edu!$J$885)</f>
        <v>328767182.82300001</v>
      </c>
      <c r="M15" s="7">
        <f t="shared" si="13"/>
        <v>26.180227909007879</v>
      </c>
      <c r="N15" s="8">
        <f t="shared" si="14"/>
        <v>157144970.74400002</v>
      </c>
      <c r="O15" s="7">
        <f t="shared" si="15"/>
        <v>12.513691644969379</v>
      </c>
      <c r="P15" s="33">
        <f>SUM([1]edu!$N$885)</f>
        <v>485912153.56700003</v>
      </c>
      <c r="Q15" s="9">
        <f t="shared" si="16"/>
        <v>38.69391955397726</v>
      </c>
      <c r="R15" s="6">
        <f t="shared" si="37"/>
        <v>2302594723</v>
      </c>
      <c r="S15" s="7">
        <f t="shared" si="2"/>
        <v>26.6130488238068</v>
      </c>
      <c r="T15" s="6">
        <f t="shared" si="38"/>
        <v>1249465369.2529995</v>
      </c>
      <c r="U15" s="7">
        <f t="shared" si="17"/>
        <v>54.263364576163816</v>
      </c>
      <c r="V15" s="8">
        <f t="shared" si="18"/>
        <v>282130166.76600003</v>
      </c>
      <c r="W15" s="7">
        <f t="shared" si="19"/>
        <v>12.252706216507733</v>
      </c>
      <c r="X15" s="6">
        <f t="shared" si="39"/>
        <v>1531595536.0189996</v>
      </c>
      <c r="Y15" s="9">
        <f t="shared" si="20"/>
        <v>66.516070792671556</v>
      </c>
      <c r="Z15" s="6"/>
      <c r="AA15" s="7"/>
      <c r="AB15" s="8"/>
      <c r="AC15" s="7"/>
      <c r="AD15" s="8"/>
      <c r="AE15" s="7"/>
      <c r="AF15" s="8"/>
      <c r="AG15" s="9"/>
      <c r="AH15" s="31">
        <f>SUM([1]edu!$F$1787)</f>
        <v>20570420</v>
      </c>
      <c r="AI15" s="7">
        <f t="shared" si="3"/>
        <v>2.6072359070060771</v>
      </c>
      <c r="AJ15" s="33">
        <f>SUM([1]edu!$J$1787)</f>
        <v>1368861.8670000001</v>
      </c>
      <c r="AK15" s="7">
        <f t="shared" si="21"/>
        <v>6.6545158873761459</v>
      </c>
      <c r="AL15" s="8">
        <f t="shared" si="22"/>
        <v>163740.86199999996</v>
      </c>
      <c r="AM15" s="7">
        <f t="shared" si="23"/>
        <v>0.79600154979820525</v>
      </c>
      <c r="AN15" s="33">
        <f>SUM([1]edu!$N$1787)</f>
        <v>1532602.7290000001</v>
      </c>
      <c r="AO15" s="9">
        <f t="shared" si="24"/>
        <v>7.4505174371743506</v>
      </c>
      <c r="AP15" s="31">
        <f>SUM([1]edu!$F$1801)</f>
        <v>130431305.62200001</v>
      </c>
      <c r="AQ15" s="7">
        <f t="shared" si="4"/>
        <v>13.976966327288487</v>
      </c>
      <c r="AR15" s="33">
        <f>SUM([1]edu!$J$1801)</f>
        <v>98474014.658000007</v>
      </c>
      <c r="AS15" s="7">
        <f t="shared" si="25"/>
        <v>75.498757133801377</v>
      </c>
      <c r="AT15" s="8">
        <f t="shared" si="26"/>
        <v>31799529.248999983</v>
      </c>
      <c r="AU15" s="7">
        <f t="shared" si="27"/>
        <v>24.380288993776901</v>
      </c>
      <c r="AV15" s="33">
        <f>SUM([1]edu!$N$1801)</f>
        <v>130273543.90699999</v>
      </c>
      <c r="AW15" s="9">
        <f t="shared" si="28"/>
        <v>99.879046127578277</v>
      </c>
      <c r="AX15" s="6"/>
      <c r="AY15" s="7">
        <f t="shared" si="5"/>
        <v>0</v>
      </c>
      <c r="AZ15" s="6"/>
      <c r="BA15" s="7">
        <f t="shared" si="29"/>
        <v>0</v>
      </c>
      <c r="BB15" s="8"/>
      <c r="BC15" s="7">
        <f t="shared" si="30"/>
        <v>0</v>
      </c>
      <c r="BD15" s="6"/>
      <c r="BE15" s="9">
        <f t="shared" si="31"/>
        <v>0</v>
      </c>
      <c r="BF15" s="31">
        <f>SUM([1]edu!$D$432)</f>
        <v>2479172929</v>
      </c>
      <c r="BG15" s="8">
        <f t="shared" si="40"/>
        <v>2453596448.6220002</v>
      </c>
      <c r="BH15" s="10">
        <f t="shared" si="6"/>
        <v>17.289014842313229</v>
      </c>
      <c r="BI15" s="6">
        <f>SUM([2]educ!$H$320)</f>
        <v>0</v>
      </c>
      <c r="BJ15" s="8">
        <f t="shared" si="41"/>
        <v>2453596448.6220002</v>
      </c>
      <c r="BK15" s="8">
        <f t="shared" si="42"/>
        <v>1349308245.7779996</v>
      </c>
      <c r="BL15" s="7">
        <f t="shared" si="36"/>
        <v>54.993079507259814</v>
      </c>
      <c r="BM15" s="8">
        <f t="shared" si="43"/>
        <v>314093436.87699997</v>
      </c>
      <c r="BN15" s="7">
        <f t="shared" si="7"/>
        <v>12.801348691770503</v>
      </c>
      <c r="BO15" s="11">
        <f t="shared" si="8"/>
        <v>1663401682.6549997</v>
      </c>
      <c r="BP15" s="9">
        <f t="shared" si="32"/>
        <v>67.794428199030321</v>
      </c>
    </row>
    <row r="16" spans="1:68" ht="25.5" x14ac:dyDescent="0.2">
      <c r="A16" s="5" t="s">
        <v>32</v>
      </c>
      <c r="B16" s="31">
        <f>SUM([1]adt!$F$434)</f>
        <v>15592805.266999997</v>
      </c>
      <c r="C16" s="7">
        <f t="shared" si="0"/>
        <v>0.45989590227789495</v>
      </c>
      <c r="D16" s="33">
        <f>SUM([1]adt!$J$434)</f>
        <v>9680184.4830000009</v>
      </c>
      <c r="E16" s="7">
        <f t="shared" si="9"/>
        <v>62.081096488049937</v>
      </c>
      <c r="F16" s="8">
        <f t="shared" si="10"/>
        <v>5901513.4639999997</v>
      </c>
      <c r="G16" s="7">
        <f t="shared" si="11"/>
        <v>37.847669889713373</v>
      </c>
      <c r="H16" s="33">
        <f>SUM([1]adt!$N$434)</f>
        <v>15581697.947000001</v>
      </c>
      <c r="I16" s="9">
        <f t="shared" si="12"/>
        <v>99.92876637776331</v>
      </c>
      <c r="J16" s="31">
        <f>SUM([1]adt!$F$885)</f>
        <v>39730018.682999998</v>
      </c>
      <c r="K16" s="7">
        <f t="shared" si="1"/>
        <v>0.75509110306355687</v>
      </c>
      <c r="L16" s="33">
        <f>SUM([1]adt!$J$885)</f>
        <v>262585.92499999999</v>
      </c>
      <c r="M16" s="7">
        <f t="shared" si="13"/>
        <v>0.66092575262834541</v>
      </c>
      <c r="N16" s="8">
        <f t="shared" si="14"/>
        <v>4688061.7570000002</v>
      </c>
      <c r="O16" s="7">
        <f t="shared" si="15"/>
        <v>11.799797514331313</v>
      </c>
      <c r="P16" s="33">
        <f>SUM([1]adt!$N$885)</f>
        <v>4950647.682</v>
      </c>
      <c r="Q16" s="9">
        <f t="shared" si="16"/>
        <v>12.460723266959658</v>
      </c>
      <c r="R16" s="6">
        <f t="shared" si="37"/>
        <v>55322823.949999996</v>
      </c>
      <c r="S16" s="7">
        <f t="shared" si="2"/>
        <v>0.63941300661628331</v>
      </c>
      <c r="T16" s="6">
        <f t="shared" si="38"/>
        <v>9942770.4080000017</v>
      </c>
      <c r="U16" s="7">
        <f t="shared" si="17"/>
        <v>17.972275632542079</v>
      </c>
      <c r="V16" s="8">
        <f t="shared" si="18"/>
        <v>10589575.220999999</v>
      </c>
      <c r="W16" s="7">
        <f t="shared" si="19"/>
        <v>19.141422047744182</v>
      </c>
      <c r="X16" s="6">
        <f t="shared" si="39"/>
        <v>20532345.629000001</v>
      </c>
      <c r="Y16" s="9">
        <f t="shared" si="20"/>
        <v>37.113697680286265</v>
      </c>
      <c r="Z16" s="6"/>
      <c r="AA16" s="7"/>
      <c r="AB16" s="8"/>
      <c r="AC16" s="7"/>
      <c r="AD16" s="8"/>
      <c r="AE16" s="7"/>
      <c r="AF16" s="8"/>
      <c r="AG16" s="9"/>
      <c r="AH16" s="31">
        <f>SUM([1]adt!$F$1787)</f>
        <v>2504148</v>
      </c>
      <c r="AI16" s="7">
        <f t="shared" si="3"/>
        <v>0.31739286713919573</v>
      </c>
      <c r="AJ16" s="33">
        <f>SUM([1]adt!$J$1787)</f>
        <v>1195008.057</v>
      </c>
      <c r="AK16" s="7">
        <f t="shared" si="21"/>
        <v>47.721143358938853</v>
      </c>
      <c r="AL16" s="8">
        <f t="shared" si="22"/>
        <v>18</v>
      </c>
      <c r="AM16" s="7">
        <f t="shared" si="23"/>
        <v>7.1880735483685469E-4</v>
      </c>
      <c r="AN16" s="33">
        <f>SUM([1]adt!$N$1787)</f>
        <v>1195026.057</v>
      </c>
      <c r="AO16" s="9">
        <f t="shared" si="24"/>
        <v>47.72186216629369</v>
      </c>
      <c r="AP16" s="31">
        <f>SUM([1]adt!$F$1801)</f>
        <v>9915177.0529999994</v>
      </c>
      <c r="AQ16" s="7">
        <f t="shared" si="4"/>
        <v>1.0625063909159345</v>
      </c>
      <c r="AR16" s="33">
        <f>SUM([1]adt!$J$1801)</f>
        <v>7420001.841</v>
      </c>
      <c r="AS16" s="7">
        <f t="shared" si="25"/>
        <v>74.834789145343166</v>
      </c>
      <c r="AT16" s="8">
        <f t="shared" si="26"/>
        <v>2448583.2110000011</v>
      </c>
      <c r="AU16" s="7">
        <f t="shared" si="27"/>
        <v>24.69530496441455</v>
      </c>
      <c r="AV16" s="33">
        <f>SUM([1]adt!$N$1801)</f>
        <v>9868585.0520000011</v>
      </c>
      <c r="AW16" s="9">
        <f t="shared" si="28"/>
        <v>99.530094109757712</v>
      </c>
      <c r="AX16" s="6"/>
      <c r="AY16" s="7">
        <f t="shared" si="5"/>
        <v>0</v>
      </c>
      <c r="AZ16" s="6"/>
      <c r="BA16" s="7">
        <f t="shared" si="29"/>
        <v>0</v>
      </c>
      <c r="BB16" s="8"/>
      <c r="BC16" s="7">
        <f t="shared" si="30"/>
        <v>0</v>
      </c>
      <c r="BD16" s="6"/>
      <c r="BE16" s="9">
        <f t="shared" si="31"/>
        <v>0</v>
      </c>
      <c r="BF16" s="31">
        <f>SUM([1]adt!$D$432)</f>
        <v>84326303</v>
      </c>
      <c r="BG16" s="8">
        <f t="shared" si="40"/>
        <v>67742149.002999991</v>
      </c>
      <c r="BH16" s="10">
        <f t="shared" si="6"/>
        <v>0.47733808068593875</v>
      </c>
      <c r="BI16" s="6">
        <f>SUM([2]mova!$H$320)</f>
        <v>0</v>
      </c>
      <c r="BJ16" s="8">
        <f t="shared" si="41"/>
        <v>67742149.002999991</v>
      </c>
      <c r="BK16" s="8">
        <f t="shared" si="42"/>
        <v>18557780.306000002</v>
      </c>
      <c r="BL16" s="7">
        <f t="shared" si="36"/>
        <v>27.394732200152315</v>
      </c>
      <c r="BM16" s="8">
        <f t="shared" si="43"/>
        <v>13038176.432</v>
      </c>
      <c r="BN16" s="7">
        <f t="shared" si="7"/>
        <v>19.246771210967339</v>
      </c>
      <c r="BO16" s="11">
        <f t="shared" si="8"/>
        <v>31595956.738000002</v>
      </c>
      <c r="BP16" s="9">
        <f t="shared" si="32"/>
        <v>46.641503411119658</v>
      </c>
    </row>
    <row r="17" spans="1:68" ht="25.5" x14ac:dyDescent="0.2">
      <c r="A17" s="5" t="s">
        <v>33</v>
      </c>
      <c r="B17" s="31">
        <f>SUM([1]stt!$F$434)</f>
        <v>43183186.523999989</v>
      </c>
      <c r="C17" s="7">
        <f t="shared" si="0"/>
        <v>1.2736496217085482</v>
      </c>
      <c r="D17" s="33">
        <f>SUM([1]stt!$J$434)</f>
        <v>27665957.515000001</v>
      </c>
      <c r="E17" s="7">
        <f t="shared" si="9"/>
        <v>64.066503058138252</v>
      </c>
      <c r="F17" s="8">
        <f t="shared" si="10"/>
        <v>15404820.122999996</v>
      </c>
      <c r="G17" s="7">
        <f t="shared" si="11"/>
        <v>35.673189875504988</v>
      </c>
      <c r="H17" s="33">
        <f>SUM([1]stt!$N$434)</f>
        <v>43070777.637999997</v>
      </c>
      <c r="I17" s="9">
        <f t="shared" si="12"/>
        <v>99.739692933643241</v>
      </c>
      <c r="J17" s="31">
        <f>SUM([1]stt!$F$885)</f>
        <v>108066161.52599999</v>
      </c>
      <c r="K17" s="7">
        <f t="shared" si="1"/>
        <v>2.0538575066270339</v>
      </c>
      <c r="L17" s="33">
        <f>SUM([1]stt!$J$885)</f>
        <v>2676270.4210000001</v>
      </c>
      <c r="M17" s="7">
        <f t="shared" si="13"/>
        <v>2.4765110402816588</v>
      </c>
      <c r="N17" s="8">
        <f t="shared" si="14"/>
        <v>21436515</v>
      </c>
      <c r="O17" s="7">
        <f t="shared" si="15"/>
        <v>19.836473043268516</v>
      </c>
      <c r="P17" s="33">
        <f>SUM([1]stt!$N$885)</f>
        <v>24112785.421</v>
      </c>
      <c r="Q17" s="9">
        <f t="shared" si="16"/>
        <v>22.312984083550173</v>
      </c>
      <c r="R17" s="6">
        <f t="shared" si="37"/>
        <v>151249348.04999998</v>
      </c>
      <c r="S17" s="7">
        <f t="shared" si="2"/>
        <v>1.7481175666811417</v>
      </c>
      <c r="T17" s="6">
        <f t="shared" si="38"/>
        <v>30342227.936000001</v>
      </c>
      <c r="U17" s="7">
        <f t="shared" si="17"/>
        <v>20.061063619242493</v>
      </c>
      <c r="V17" s="8">
        <f t="shared" si="18"/>
        <v>36841335.122999996</v>
      </c>
      <c r="W17" s="7">
        <f t="shared" si="19"/>
        <v>24.358012512438066</v>
      </c>
      <c r="X17" s="6">
        <f t="shared" si="39"/>
        <v>67183563.059</v>
      </c>
      <c r="Y17" s="9">
        <f t="shared" si="20"/>
        <v>44.419076131680562</v>
      </c>
      <c r="Z17" s="6"/>
      <c r="AA17" s="7"/>
      <c r="AB17" s="8"/>
      <c r="AC17" s="7"/>
      <c r="AD17" s="8"/>
      <c r="AE17" s="7"/>
      <c r="AF17" s="8"/>
      <c r="AG17" s="9"/>
      <c r="AH17" s="31">
        <f>SUM([1]stt!$F$1787)</f>
        <v>35500000</v>
      </c>
      <c r="AI17" s="7">
        <f t="shared" si="3"/>
        <v>4.499513121205875</v>
      </c>
      <c r="AJ17" s="33">
        <f>SUM([1]stt!$J$1787)</f>
        <v>283003.12</v>
      </c>
      <c r="AK17" s="7">
        <f t="shared" si="21"/>
        <v>0.79719188732394375</v>
      </c>
      <c r="AL17" s="8">
        <f t="shared" si="22"/>
        <v>0</v>
      </c>
      <c r="AM17" s="7">
        <f t="shared" si="23"/>
        <v>0</v>
      </c>
      <c r="AN17" s="33">
        <f>SUM([1]stt!$N$1787)</f>
        <v>283003.12</v>
      </c>
      <c r="AO17" s="9">
        <f t="shared" si="24"/>
        <v>0.79719188732394375</v>
      </c>
      <c r="AP17" s="31">
        <f>SUM([1]stt!$F$1801)</f>
        <v>33930303.783</v>
      </c>
      <c r="AQ17" s="7">
        <f t="shared" si="4"/>
        <v>3.6359577264683076</v>
      </c>
      <c r="AR17" s="33">
        <f>SUM([1]stt!$J$1801)</f>
        <v>22151363.420000006</v>
      </c>
      <c r="AS17" s="7">
        <f t="shared" si="25"/>
        <v>65.284895654540051</v>
      </c>
      <c r="AT17" s="8">
        <f t="shared" si="26"/>
        <v>11604160.735999998</v>
      </c>
      <c r="AU17" s="7">
        <f t="shared" si="27"/>
        <v>34.199990693316444</v>
      </c>
      <c r="AV17" s="33">
        <f>SUM([1]stt!$N$1801)</f>
        <v>33755524.156000003</v>
      </c>
      <c r="AW17" s="9">
        <f t="shared" si="28"/>
        <v>99.484886347856488</v>
      </c>
      <c r="AX17" s="6"/>
      <c r="AY17" s="7">
        <f t="shared" si="5"/>
        <v>0</v>
      </c>
      <c r="AZ17" s="6"/>
      <c r="BA17" s="7">
        <f t="shared" si="29"/>
        <v>0</v>
      </c>
      <c r="BB17" s="8"/>
      <c r="BC17" s="7">
        <f t="shared" si="30"/>
        <v>0</v>
      </c>
      <c r="BD17" s="6"/>
      <c r="BE17" s="9">
        <f t="shared" si="31"/>
        <v>0</v>
      </c>
      <c r="BF17" s="31">
        <f>SUM([1]stt!$D$432)</f>
        <v>220246328</v>
      </c>
      <c r="BG17" s="8">
        <f t="shared" si="40"/>
        <v>220679651.83299997</v>
      </c>
      <c r="BH17" s="10">
        <f t="shared" si="6"/>
        <v>1.5549964535040131</v>
      </c>
      <c r="BI17" s="6">
        <f>SUM([2]movs!$H$320)</f>
        <v>0</v>
      </c>
      <c r="BJ17" s="8">
        <f t="shared" si="41"/>
        <v>220679651.83299997</v>
      </c>
      <c r="BK17" s="8">
        <f t="shared" si="42"/>
        <v>52776594.476000011</v>
      </c>
      <c r="BL17" s="7">
        <f t="shared" si="36"/>
        <v>23.91547840393498</v>
      </c>
      <c r="BM17" s="8">
        <f t="shared" si="43"/>
        <v>48445495.858999997</v>
      </c>
      <c r="BN17" s="7">
        <f t="shared" si="7"/>
        <v>21.952860382279958</v>
      </c>
      <c r="BO17" s="11">
        <f t="shared" si="8"/>
        <v>101222090.33500001</v>
      </c>
      <c r="BP17" s="9">
        <f t="shared" si="32"/>
        <v>45.868338786214935</v>
      </c>
    </row>
    <row r="18" spans="1:68" x14ac:dyDescent="0.2">
      <c r="A18" s="5" t="s">
        <v>34</v>
      </c>
      <c r="B18" s="31">
        <f>SUM([1]sal!$F$434)</f>
        <v>0</v>
      </c>
      <c r="C18" s="7"/>
      <c r="D18" s="33">
        <f>SUM([1]sal!$J$434)</f>
        <v>0</v>
      </c>
      <c r="E18" s="7"/>
      <c r="F18" s="8"/>
      <c r="G18" s="7"/>
      <c r="H18" s="33">
        <f>SUM([1]sal!$N$434)</f>
        <v>0</v>
      </c>
      <c r="I18" s="9"/>
      <c r="J18" s="31">
        <f>SUM([1]sal!$F$885)</f>
        <v>0</v>
      </c>
      <c r="K18" s="7"/>
      <c r="L18" s="33">
        <f>SUM([1]sal!$J$885)</f>
        <v>0</v>
      </c>
      <c r="M18" s="7"/>
      <c r="N18" s="8"/>
      <c r="O18" s="7"/>
      <c r="P18" s="33">
        <f>SUM([1]sal!$N$885)</f>
        <v>0</v>
      </c>
      <c r="Q18" s="9"/>
      <c r="R18" s="6">
        <f t="shared" si="37"/>
        <v>0</v>
      </c>
      <c r="S18" s="7"/>
      <c r="T18" s="6">
        <f t="shared" si="38"/>
        <v>0</v>
      </c>
      <c r="U18" s="7"/>
      <c r="V18" s="8"/>
      <c r="W18" s="7"/>
      <c r="X18" s="6">
        <f t="shared" si="39"/>
        <v>0</v>
      </c>
      <c r="Y18" s="9"/>
      <c r="Z18" s="6"/>
      <c r="AA18" s="7"/>
      <c r="AB18" s="8"/>
      <c r="AC18" s="7"/>
      <c r="AD18" s="8"/>
      <c r="AE18" s="7"/>
      <c r="AF18" s="8"/>
      <c r="AG18" s="9"/>
      <c r="AH18" s="31">
        <f>SUM([1]sal!$F$1787)</f>
        <v>0</v>
      </c>
      <c r="AI18" s="7"/>
      <c r="AJ18" s="33">
        <f>SUM([1]sal!$J$1787)</f>
        <v>0</v>
      </c>
      <c r="AK18" s="7"/>
      <c r="AL18" s="8"/>
      <c r="AM18" s="7"/>
      <c r="AN18" s="33">
        <f>SUM([1]sal!$N$1787)</f>
        <v>0</v>
      </c>
      <c r="AO18" s="9"/>
      <c r="AP18" s="31">
        <f>SUM([1]sal!$F$1801)</f>
        <v>0</v>
      </c>
      <c r="AQ18" s="7"/>
      <c r="AR18" s="33">
        <f>SUM([1]sal!$J$1801)</f>
        <v>0</v>
      </c>
      <c r="AS18" s="7"/>
      <c r="AT18" s="8"/>
      <c r="AU18" s="7"/>
      <c r="AV18" s="33">
        <f>SUM([1]sal!$N$1801)</f>
        <v>0</v>
      </c>
      <c r="AW18" s="9"/>
      <c r="AX18" s="6"/>
      <c r="AY18" s="7"/>
      <c r="AZ18" s="6"/>
      <c r="BA18" s="7"/>
      <c r="BB18" s="8"/>
      <c r="BC18" s="7"/>
      <c r="BD18" s="6"/>
      <c r="BE18" s="9"/>
      <c r="BF18" s="31">
        <f>SUM([1]sal!$D$432)</f>
        <v>0</v>
      </c>
      <c r="BG18" s="8">
        <f t="shared" si="40"/>
        <v>0</v>
      </c>
      <c r="BH18" s="10">
        <f t="shared" si="6"/>
        <v>0</v>
      </c>
      <c r="BI18" s="6">
        <f>SUM([2]salu!$H$320)</f>
        <v>0</v>
      </c>
      <c r="BJ18" s="8">
        <f t="shared" si="41"/>
        <v>0</v>
      </c>
      <c r="BK18" s="8">
        <f t="shared" si="42"/>
        <v>0</v>
      </c>
      <c r="BL18" s="7">
        <f t="shared" si="36"/>
        <v>0</v>
      </c>
      <c r="BM18" s="8">
        <f t="shared" si="43"/>
        <v>0</v>
      </c>
      <c r="BN18" s="7">
        <f t="shared" si="7"/>
        <v>0</v>
      </c>
      <c r="BO18" s="11">
        <f t="shared" si="8"/>
        <v>0</v>
      </c>
      <c r="BP18" s="9">
        <f t="shared" si="32"/>
        <v>0</v>
      </c>
    </row>
    <row r="19" spans="1:68" x14ac:dyDescent="0.2">
      <c r="A19" s="5" t="s">
        <v>35</v>
      </c>
      <c r="B19" s="31">
        <f>SUM([1]dllo!$F$434)</f>
        <v>10639935.088</v>
      </c>
      <c r="C19" s="7">
        <f t="shared" ref="C19:C50" si="44">IF(OR(B19=0,B$84=0),0,B19/B$84)*100</f>
        <v>0.31381540804783231</v>
      </c>
      <c r="D19" s="33">
        <f>SUM([1]dllo!$J$434)</f>
        <v>7277851.9170000004</v>
      </c>
      <c r="E19" s="7">
        <f t="shared" si="9"/>
        <v>68.401281180823688</v>
      </c>
      <c r="F19" s="8">
        <f t="shared" si="10"/>
        <v>3318083.1709999992</v>
      </c>
      <c r="G19" s="7">
        <f t="shared" si="11"/>
        <v>31.185182461707132</v>
      </c>
      <c r="H19" s="33">
        <f>SUM([1]dllo!$N$434)</f>
        <v>10595935.088</v>
      </c>
      <c r="I19" s="9">
        <f t="shared" si="12"/>
        <v>99.586463642530816</v>
      </c>
      <c r="J19" s="31">
        <f>SUM([1]dllo!$F$885)</f>
        <v>41169904.912</v>
      </c>
      <c r="K19" s="7">
        <f t="shared" ref="K19:K50" si="45">IF(OR(J19=0,J$84=0),0,J19/J$84)*100</f>
        <v>0.78245694171610347</v>
      </c>
      <c r="L19" s="33">
        <f>SUM([1]dllo!$J$885)</f>
        <v>6210.3019999999997</v>
      </c>
      <c r="M19" s="7">
        <f t="shared" ref="M19:M82" si="46">IF(OR(L19=0,J19=0),0,L19/J19)*100</f>
        <v>1.5084567266488515E-2</v>
      </c>
      <c r="N19" s="8">
        <f t="shared" ref="N19:N27" si="47">SUM(P19-L19)</f>
        <v>4296539.1549999993</v>
      </c>
      <c r="O19" s="7">
        <f t="shared" ref="O19:O82" si="48">IF(OR(N19=0,J19=0),0,N19/J19)*100</f>
        <v>10.436116294618076</v>
      </c>
      <c r="P19" s="33">
        <f>SUM([1]dllo!$N$885)</f>
        <v>4302749.4569999995</v>
      </c>
      <c r="Q19" s="9">
        <f t="shared" ref="Q19:Q60" si="49">IF(OR(P19=0,J19=0),0,P19/J19)*100</f>
        <v>10.451200861884564</v>
      </c>
      <c r="R19" s="6">
        <f t="shared" si="37"/>
        <v>51809840</v>
      </c>
      <c r="S19" s="7">
        <f t="shared" ref="S19:S50" si="50">IF(OR(R19=0,R$84=0),0,R19/R$84)*100</f>
        <v>0.59881045834986846</v>
      </c>
      <c r="T19" s="6">
        <f t="shared" si="38"/>
        <v>7284062.2190000005</v>
      </c>
      <c r="U19" s="7">
        <f t="shared" ref="U19:U28" si="51">IF(OR(T19=0,R19=0),0,T19/R19)*100</f>
        <v>14.059225465664438</v>
      </c>
      <c r="V19" s="8">
        <f t="shared" ref="V19:V27" si="52">SUM(X19-T19)</f>
        <v>7614622.3259999976</v>
      </c>
      <c r="W19" s="7">
        <f t="shared" ref="W19:W28" si="53">IF(OR(V19=0,R19=0),0,V19/R19)*100</f>
        <v>14.697251190121408</v>
      </c>
      <c r="X19" s="6">
        <f t="shared" si="39"/>
        <v>14898684.544999998</v>
      </c>
      <c r="Y19" s="9">
        <f t="shared" ref="Y19:Y28" si="54">IF(OR(X19=0,R19=0),0,X19/R19)*100</f>
        <v>28.756476655785846</v>
      </c>
      <c r="Z19" s="6">
        <f>SUM([1]dllo!$F$1628)</f>
        <v>30000000</v>
      </c>
      <c r="AA19" s="7">
        <f>IF(OR(Z19=0,Z$84=0),0,Z19/Z$84)*100</f>
        <v>0.7692055991035045</v>
      </c>
      <c r="AB19" s="8">
        <f>SUM([1]dllo!$J$1628)</f>
        <v>0</v>
      </c>
      <c r="AC19" s="7">
        <f>IF(OR(AB19=0,Z19=0),0,AB19/Z19)*100</f>
        <v>0</v>
      </c>
      <c r="AD19" s="8">
        <f>SUM(AF19-AB19)</f>
        <v>0</v>
      </c>
      <c r="AE19" s="7">
        <f>IF(OR(AD19=0,Z19=0),0,AD19/Z19)*100</f>
        <v>0</v>
      </c>
      <c r="AF19" s="8">
        <f>SUM([1]dllo!$N$1628)</f>
        <v>0</v>
      </c>
      <c r="AG19" s="9">
        <f>IF(OR(AF19=0,Z19=0),0,AF19/Z19)*100</f>
        <v>0</v>
      </c>
      <c r="AH19" s="31">
        <f>SUM([1]dllo!$F$1787)</f>
        <v>189600</v>
      </c>
      <c r="AI19" s="7">
        <f t="shared" ref="AI19:AI50" si="55">IF(OR(AH19=0,AH$84=0),0,AH19/AH$84)*100</f>
        <v>2.4031202472693913E-2</v>
      </c>
      <c r="AJ19" s="33">
        <f>SUM([1]dllo!$J$1787)</f>
        <v>145300</v>
      </c>
      <c r="AK19" s="7">
        <f t="shared" ref="AK19:AK82" si="56">IF(OR(AJ19=0,AH19=0),0,AJ19/AH19)*100</f>
        <v>76.635021097046419</v>
      </c>
      <c r="AL19" s="8">
        <f t="shared" ref="AL19:AL27" si="57">SUM(AN19-AJ19)</f>
        <v>0</v>
      </c>
      <c r="AM19" s="7">
        <f t="shared" ref="AM19:AM82" si="58">IF(OR(AL19=0,AH19=0),0,AL19/AH19)*100</f>
        <v>0</v>
      </c>
      <c r="AN19" s="33">
        <f>SUM([1]dllo!$N$1787)</f>
        <v>145300</v>
      </c>
      <c r="AO19" s="9">
        <f t="shared" ref="AO19:AO27" si="59">IF(OR(AN19=0,AH19=0),0,AN19/AH19)*100</f>
        <v>76.635021097046419</v>
      </c>
      <c r="AP19" s="31">
        <f>SUM([1]dllo!$F$1801)</f>
        <v>8201261.6680000005</v>
      </c>
      <c r="AQ19" s="7">
        <f t="shared" ref="AQ19:AQ50" si="60">IF(OR(AP19=0,AP$84=0),0,AP19/AP$84)*100</f>
        <v>0.87884390659341249</v>
      </c>
      <c r="AR19" s="33">
        <f>SUM([1]dllo!$J$1801)</f>
        <v>6699204.1159999995</v>
      </c>
      <c r="AS19" s="7">
        <f t="shared" ref="AS19:AS51" si="61">IF(OR(AR19=0,AP19=0),0,AR19/AP19)*100</f>
        <v>81.685042950637865</v>
      </c>
      <c r="AT19" s="8">
        <f t="shared" ref="AT19:AT27" si="62">SUM(AV19-AR19)</f>
        <v>1465955.8480000002</v>
      </c>
      <c r="AU19" s="7">
        <f t="shared" ref="AU19:AU51" si="63">IF(OR(AT19=0,AP19=0),0,AT19/AP19)*100</f>
        <v>17.874760095997466</v>
      </c>
      <c r="AV19" s="33">
        <f>SUM([1]dllo!$N$1801)</f>
        <v>8165159.9639999997</v>
      </c>
      <c r="AW19" s="9">
        <f t="shared" ref="AW19:AW27" si="64">IF(OR(AV19=0,AP19=0),0,AV19/AP19)*100</f>
        <v>99.559803046635338</v>
      </c>
      <c r="AX19" s="6"/>
      <c r="AY19" s="7">
        <f t="shared" ref="AY19:AY50" si="65">IF(OR(AX19=0,AX$84=0),0,AX19/AX$84)*100</f>
        <v>0</v>
      </c>
      <c r="AZ19" s="6"/>
      <c r="BA19" s="7">
        <f t="shared" ref="BA19:BA27" si="66">IF(OR(AZ19=0,AX19=0),0,AZ19/AX19)*100</f>
        <v>0</v>
      </c>
      <c r="BB19" s="8"/>
      <c r="BC19" s="7">
        <f t="shared" ref="BC19:BC27" si="67">IF(OR(BB19=0,AX19=0),0,BB19/AX19)*100</f>
        <v>0</v>
      </c>
      <c r="BD19" s="6"/>
      <c r="BE19" s="9">
        <f t="shared" ref="BE19:BE27" si="68">IF(OR(BD19=0,AX19=0),0,BD19/AX19)*100</f>
        <v>0</v>
      </c>
      <c r="BF19" s="31">
        <f>SUM([1]dllo!$D$432)</f>
        <v>93172057.993000001</v>
      </c>
      <c r="BG19" s="8">
        <f t="shared" si="40"/>
        <v>90200701.667999998</v>
      </c>
      <c r="BH19" s="10">
        <f t="shared" si="6"/>
        <v>0.63558996052548178</v>
      </c>
      <c r="BI19" s="6">
        <f>SUM([2]dllo!$H$320)</f>
        <v>0</v>
      </c>
      <c r="BJ19" s="8">
        <f t="shared" si="41"/>
        <v>90200701.667999998</v>
      </c>
      <c r="BK19" s="8">
        <f t="shared" si="42"/>
        <v>14128566.335000001</v>
      </c>
      <c r="BL19" s="7">
        <f t="shared" si="36"/>
        <v>15.663477194448824</v>
      </c>
      <c r="BM19" s="8">
        <f t="shared" si="43"/>
        <v>9080578.1739999987</v>
      </c>
      <c r="BN19" s="7">
        <f t="shared" si="7"/>
        <v>10.067081526064742</v>
      </c>
      <c r="BO19" s="11">
        <f t="shared" si="8"/>
        <v>23209144.509</v>
      </c>
      <c r="BP19" s="9">
        <f t="shared" si="32"/>
        <v>25.730558720513567</v>
      </c>
    </row>
    <row r="20" spans="1:68" x14ac:dyDescent="0.2">
      <c r="A20" s="5" t="s">
        <v>36</v>
      </c>
      <c r="B20" s="31">
        <f>SUM([1]hab!$F$434)</f>
        <v>7146828.6770000011</v>
      </c>
      <c r="C20" s="7">
        <f t="shared" si="44"/>
        <v>0.21078934589085765</v>
      </c>
      <c r="D20" s="33">
        <f>SUM([1]hab!$J$434)</f>
        <v>6186521.6090000002</v>
      </c>
      <c r="E20" s="7">
        <f t="shared" si="9"/>
        <v>86.563172122895963</v>
      </c>
      <c r="F20" s="8">
        <f t="shared" si="10"/>
        <v>958730.07900000084</v>
      </c>
      <c r="G20" s="7">
        <f t="shared" si="11"/>
        <v>13.414762299891084</v>
      </c>
      <c r="H20" s="33">
        <f>SUM([1]hab!$N$434)</f>
        <v>7145251.688000001</v>
      </c>
      <c r="I20" s="9">
        <f t="shared" si="12"/>
        <v>99.977934422787058</v>
      </c>
      <c r="J20" s="31">
        <f>SUM([1]hab!$F$885)</f>
        <v>60309957.523000009</v>
      </c>
      <c r="K20" s="7">
        <f t="shared" si="45"/>
        <v>1.1462242873609358</v>
      </c>
      <c r="L20" s="33">
        <f>SUM([1]hab!$J$885)</f>
        <v>1860054.7560000003</v>
      </c>
      <c r="M20" s="7">
        <f t="shared" si="46"/>
        <v>3.0841586238734187</v>
      </c>
      <c r="N20" s="8">
        <f t="shared" si="47"/>
        <v>2464480.6399999997</v>
      </c>
      <c r="O20" s="7">
        <f t="shared" si="48"/>
        <v>4.0863577777519362</v>
      </c>
      <c r="P20" s="33">
        <f>SUM([1]hab!$N$885)</f>
        <v>4324535.3959999997</v>
      </c>
      <c r="Q20" s="9">
        <f t="shared" si="49"/>
        <v>7.1705164016253544</v>
      </c>
      <c r="R20" s="6">
        <f t="shared" si="37"/>
        <v>67456786.200000018</v>
      </c>
      <c r="S20" s="7">
        <f t="shared" si="50"/>
        <v>0.77965554541822735</v>
      </c>
      <c r="T20" s="6">
        <f t="shared" si="38"/>
        <v>8046576.3650000002</v>
      </c>
      <c r="U20" s="7">
        <f t="shared" si="51"/>
        <v>11.928490546737606</v>
      </c>
      <c r="V20" s="8">
        <f t="shared" si="52"/>
        <v>3423210.7190000005</v>
      </c>
      <c r="W20" s="7">
        <f t="shared" si="53"/>
        <v>5.0746721150495597</v>
      </c>
      <c r="X20" s="6">
        <f t="shared" si="39"/>
        <v>11469787.084000001</v>
      </c>
      <c r="Y20" s="9">
        <f t="shared" si="54"/>
        <v>17.003162661787165</v>
      </c>
      <c r="Z20" s="6"/>
      <c r="AA20" s="7"/>
      <c r="AB20" s="8"/>
      <c r="AC20" s="7"/>
      <c r="AD20" s="8"/>
      <c r="AE20" s="7"/>
      <c r="AF20" s="8"/>
      <c r="AG20" s="9"/>
      <c r="AH20" s="31">
        <f>SUM([1]hab!$F$1787)</f>
        <v>18700000</v>
      </c>
      <c r="AI20" s="7">
        <f t="shared" si="55"/>
        <v>2.3701660666633764</v>
      </c>
      <c r="AJ20" s="33">
        <f>SUM([1]hab!$J$1787)</f>
        <v>15345624.546</v>
      </c>
      <c r="AK20" s="7">
        <f t="shared" si="56"/>
        <v>82.062163347593582</v>
      </c>
      <c r="AL20" s="8">
        <f t="shared" si="57"/>
        <v>1362.6899999994785</v>
      </c>
      <c r="AM20" s="7">
        <f t="shared" si="58"/>
        <v>7.2871122994624523E-3</v>
      </c>
      <c r="AN20" s="33">
        <f>SUM([1]hab!$N$1787)</f>
        <v>15346987.236</v>
      </c>
      <c r="AO20" s="9">
        <f t="shared" si="59"/>
        <v>82.069450459893048</v>
      </c>
      <c r="AP20" s="31">
        <f>SUM([1]hab!$F$1801)</f>
        <v>36664332.151999995</v>
      </c>
      <c r="AQ20" s="7">
        <f t="shared" si="60"/>
        <v>3.928935108463623</v>
      </c>
      <c r="AR20" s="33">
        <f>SUM([1]hab!$J$1801)</f>
        <v>9745260.0810000002</v>
      </c>
      <c r="AS20" s="7">
        <f t="shared" si="61"/>
        <v>26.579674329260644</v>
      </c>
      <c r="AT20" s="8">
        <f t="shared" si="62"/>
        <v>26907886.883999988</v>
      </c>
      <c r="AU20" s="7">
        <f t="shared" si="63"/>
        <v>73.389818672947499</v>
      </c>
      <c r="AV20" s="33">
        <f>SUM([1]hab!$N$1801)</f>
        <v>36653146.964999989</v>
      </c>
      <c r="AW20" s="9">
        <f t="shared" si="64"/>
        <v>99.969493002208154</v>
      </c>
      <c r="AX20" s="6"/>
      <c r="AY20" s="7">
        <f t="shared" si="65"/>
        <v>0</v>
      </c>
      <c r="AZ20" s="6"/>
      <c r="BA20" s="7">
        <f t="shared" si="66"/>
        <v>0</v>
      </c>
      <c r="BB20" s="8"/>
      <c r="BC20" s="7">
        <f t="shared" si="67"/>
        <v>0</v>
      </c>
      <c r="BD20" s="6"/>
      <c r="BE20" s="9">
        <f t="shared" si="68"/>
        <v>0</v>
      </c>
      <c r="BF20" s="31">
        <f>SUM([1]hab!$D$432)</f>
        <v>124745000</v>
      </c>
      <c r="BG20" s="8">
        <f t="shared" si="40"/>
        <v>122821118.35200001</v>
      </c>
      <c r="BH20" s="10">
        <f t="shared" si="6"/>
        <v>0.86544636927960283</v>
      </c>
      <c r="BI20" s="6">
        <f>SUM([2]habi!$H$320)</f>
        <v>0</v>
      </c>
      <c r="BJ20" s="8">
        <f t="shared" si="41"/>
        <v>122821118.35200001</v>
      </c>
      <c r="BK20" s="8">
        <f t="shared" si="42"/>
        <v>33137460.991999999</v>
      </c>
      <c r="BL20" s="7">
        <f t="shared" si="36"/>
        <v>26.980263196292896</v>
      </c>
      <c r="BM20" s="8">
        <f t="shared" si="43"/>
        <v>30332460.29299999</v>
      </c>
      <c r="BN20" s="7">
        <f t="shared" si="7"/>
        <v>24.696453427551823</v>
      </c>
      <c r="BO20" s="11">
        <f t="shared" si="8"/>
        <v>63469921.284999989</v>
      </c>
      <c r="BP20" s="9">
        <f t="shared" si="32"/>
        <v>51.676716623844719</v>
      </c>
    </row>
    <row r="21" spans="1:68" ht="25.5" x14ac:dyDescent="0.2">
      <c r="A21" s="5" t="s">
        <v>37</v>
      </c>
      <c r="B21" s="31">
        <f>SUM([1]cul!$F$434)</f>
        <v>9884613.410000002</v>
      </c>
      <c r="C21" s="7">
        <f t="shared" si="44"/>
        <v>0.29153786794739756</v>
      </c>
      <c r="D21" s="33">
        <f>SUM([1]cul!$J$434)</f>
        <v>5113687.5419999994</v>
      </c>
      <c r="E21" s="7">
        <f t="shared" si="9"/>
        <v>51.733814261533148</v>
      </c>
      <c r="F21" s="8">
        <f t="shared" si="10"/>
        <v>4768166.603000002</v>
      </c>
      <c r="G21" s="7">
        <f t="shared" si="11"/>
        <v>48.23827098969975</v>
      </c>
      <c r="H21" s="33">
        <f>SUM([1]cul!$N$434)</f>
        <v>9881854.1450000014</v>
      </c>
      <c r="I21" s="9">
        <f t="shared" si="12"/>
        <v>99.972085251232897</v>
      </c>
      <c r="J21" s="31">
        <f>SUM([1]cul!$F$885)</f>
        <v>13012386.59</v>
      </c>
      <c r="K21" s="7">
        <f t="shared" si="45"/>
        <v>0.2473076446837103</v>
      </c>
      <c r="L21" s="33">
        <f>SUM([1]cul!$J$885)</f>
        <v>1705564.098</v>
      </c>
      <c r="M21" s="7">
        <f t="shared" si="46"/>
        <v>13.107235065631414</v>
      </c>
      <c r="N21" s="8">
        <f t="shared" si="47"/>
        <v>5110042.9069999997</v>
      </c>
      <c r="O21" s="7">
        <f t="shared" si="48"/>
        <v>39.270604755372545</v>
      </c>
      <c r="P21" s="33">
        <f>SUM([1]cul!$N$885)</f>
        <v>6815607.0049999999</v>
      </c>
      <c r="Q21" s="9">
        <f t="shared" si="49"/>
        <v>52.377839821003967</v>
      </c>
      <c r="R21" s="6">
        <f t="shared" si="37"/>
        <v>22897000</v>
      </c>
      <c r="S21" s="7">
        <f t="shared" si="50"/>
        <v>0.26464013524915225</v>
      </c>
      <c r="T21" s="6">
        <f t="shared" si="38"/>
        <v>6819251.6399999997</v>
      </c>
      <c r="U21" s="7">
        <f t="shared" si="51"/>
        <v>29.782293051491461</v>
      </c>
      <c r="V21" s="8">
        <f t="shared" si="52"/>
        <v>9878209.5100000016</v>
      </c>
      <c r="W21" s="7">
        <f t="shared" si="53"/>
        <v>43.141937852120371</v>
      </c>
      <c r="X21" s="6">
        <f t="shared" si="39"/>
        <v>16697461.150000002</v>
      </c>
      <c r="Y21" s="9">
        <f t="shared" si="54"/>
        <v>72.924230903611843</v>
      </c>
      <c r="Z21" s="6"/>
      <c r="AA21" s="7"/>
      <c r="AB21" s="8"/>
      <c r="AC21" s="7"/>
      <c r="AD21" s="8"/>
      <c r="AE21" s="7"/>
      <c r="AF21" s="8"/>
      <c r="AG21" s="9"/>
      <c r="AH21" s="31">
        <f>SUM([1]cul!$F$1787)</f>
        <v>35000</v>
      </c>
      <c r="AI21" s="7">
        <f t="shared" si="55"/>
        <v>4.4361396969635385E-3</v>
      </c>
      <c r="AJ21" s="33">
        <f>SUM([1]cul!$J$1787)</f>
        <v>0</v>
      </c>
      <c r="AK21" s="7">
        <f t="shared" si="56"/>
        <v>0</v>
      </c>
      <c r="AL21" s="8">
        <f t="shared" si="57"/>
        <v>0</v>
      </c>
      <c r="AM21" s="7">
        <f t="shared" si="58"/>
        <v>0</v>
      </c>
      <c r="AN21" s="33">
        <f>SUM([1]cul!$N$1787)</f>
        <v>0</v>
      </c>
      <c r="AO21" s="9">
        <f t="shared" si="59"/>
        <v>0</v>
      </c>
      <c r="AP21" s="31">
        <f>SUM([1]cul!$F$1801)</f>
        <v>1076240.7519999999</v>
      </c>
      <c r="AQ21" s="7">
        <f t="shared" si="60"/>
        <v>0.1153295267499215</v>
      </c>
      <c r="AR21" s="33">
        <f>SUM([1]cul!$J$1801)</f>
        <v>1006084.9219999999</v>
      </c>
      <c r="AS21" s="7">
        <f t="shared" si="61"/>
        <v>93.481399968396659</v>
      </c>
      <c r="AT21" s="8">
        <f t="shared" si="62"/>
        <v>38966.776000000187</v>
      </c>
      <c r="AU21" s="7">
        <f t="shared" si="63"/>
        <v>3.6206374761025768</v>
      </c>
      <c r="AV21" s="33">
        <f>SUM([1]cul!$N$1801)</f>
        <v>1045051.6980000001</v>
      </c>
      <c r="AW21" s="9">
        <f t="shared" si="64"/>
        <v>97.102037444499246</v>
      </c>
      <c r="AX21" s="6"/>
      <c r="AY21" s="7">
        <f t="shared" si="65"/>
        <v>0</v>
      </c>
      <c r="AZ21" s="6"/>
      <c r="BA21" s="7">
        <f t="shared" si="66"/>
        <v>0</v>
      </c>
      <c r="BB21" s="8"/>
      <c r="BC21" s="7">
        <f t="shared" si="67"/>
        <v>0</v>
      </c>
      <c r="BD21" s="6"/>
      <c r="BE21" s="9">
        <f t="shared" si="68"/>
        <v>0</v>
      </c>
      <c r="BF21" s="31">
        <f>SUM([1]cul!$D$432)</f>
        <v>26223562</v>
      </c>
      <c r="BG21" s="8">
        <f t="shared" si="40"/>
        <v>24008240.752</v>
      </c>
      <c r="BH21" s="10">
        <f t="shared" si="6"/>
        <v>0.16917159744516083</v>
      </c>
      <c r="BI21" s="6">
        <f>SUM([2]cult!$H$320)</f>
        <v>0</v>
      </c>
      <c r="BJ21" s="8">
        <f t="shared" si="41"/>
        <v>24008240.752</v>
      </c>
      <c r="BK21" s="8">
        <f t="shared" si="42"/>
        <v>7825336.5619999999</v>
      </c>
      <c r="BL21" s="7">
        <f t="shared" si="36"/>
        <v>32.594377250853384</v>
      </c>
      <c r="BM21" s="8">
        <f t="shared" si="43"/>
        <v>9917176.2860000022</v>
      </c>
      <c r="BN21" s="7">
        <f t="shared" si="7"/>
        <v>41.307384362070984</v>
      </c>
      <c r="BO21" s="11">
        <f t="shared" si="8"/>
        <v>17742512.848000001</v>
      </c>
      <c r="BP21" s="9">
        <f t="shared" si="32"/>
        <v>73.901761612924361</v>
      </c>
    </row>
    <row r="22" spans="1:68" x14ac:dyDescent="0.2">
      <c r="A22" s="5" t="s">
        <v>38</v>
      </c>
      <c r="B22" s="31">
        <f>SUM([1]pla!$F$434)</f>
        <v>10276680.328</v>
      </c>
      <c r="C22" s="7">
        <f t="shared" si="44"/>
        <v>0.30310153246570742</v>
      </c>
      <c r="D22" s="33">
        <f>SUM([1]pla!$J$434)</f>
        <v>8480956.7410000004</v>
      </c>
      <c r="E22" s="7">
        <f t="shared" si="9"/>
        <v>82.526228999190096</v>
      </c>
      <c r="F22" s="8">
        <f t="shared" si="10"/>
        <v>1792477.040000001</v>
      </c>
      <c r="G22" s="7">
        <f t="shared" si="11"/>
        <v>17.442179602650388</v>
      </c>
      <c r="H22" s="33">
        <f>SUM([1]pla!$N$434)</f>
        <v>10273433.781000001</v>
      </c>
      <c r="I22" s="9">
        <f t="shared" si="12"/>
        <v>99.96840860184048</v>
      </c>
      <c r="J22" s="31">
        <f>SUM([1]pla!$F$885)</f>
        <v>12723319.672</v>
      </c>
      <c r="K22" s="7">
        <f t="shared" si="45"/>
        <v>0.24181376712696007</v>
      </c>
      <c r="L22" s="33">
        <f>SUM([1]pla!$J$885)</f>
        <v>1043603.3729999999</v>
      </c>
      <c r="M22" s="7">
        <f t="shared" si="46"/>
        <v>8.2022883956664288</v>
      </c>
      <c r="N22" s="8">
        <f t="shared" si="47"/>
        <v>3067608.1840000004</v>
      </c>
      <c r="O22" s="7">
        <f t="shared" si="48"/>
        <v>24.110124268518028</v>
      </c>
      <c r="P22" s="33">
        <f>SUM([1]pla!$N$885)</f>
        <v>4111211.557</v>
      </c>
      <c r="Q22" s="9">
        <f t="shared" si="49"/>
        <v>32.31241266418445</v>
      </c>
      <c r="R22" s="6">
        <f t="shared" si="37"/>
        <v>23000000</v>
      </c>
      <c r="S22" s="7">
        <f t="shared" si="50"/>
        <v>0.26583059399617859</v>
      </c>
      <c r="T22" s="6">
        <f t="shared" si="38"/>
        <v>9524560.1140000001</v>
      </c>
      <c r="U22" s="7">
        <f t="shared" si="51"/>
        <v>41.41113093043478</v>
      </c>
      <c r="V22" s="8">
        <f t="shared" si="52"/>
        <v>4860085.2240000013</v>
      </c>
      <c r="W22" s="7">
        <f t="shared" si="53"/>
        <v>21.130805321739135</v>
      </c>
      <c r="X22" s="6">
        <f t="shared" si="39"/>
        <v>14384645.338000001</v>
      </c>
      <c r="Y22" s="9">
        <f t="shared" si="54"/>
        <v>62.541936252173926</v>
      </c>
      <c r="Z22" s="6"/>
      <c r="AA22" s="7"/>
      <c r="AB22" s="8"/>
      <c r="AC22" s="7"/>
      <c r="AD22" s="8"/>
      <c r="AE22" s="7"/>
      <c r="AF22" s="8"/>
      <c r="AG22" s="9"/>
      <c r="AH22" s="31">
        <f>SUM([1]pla!$F$1787)</f>
        <v>0</v>
      </c>
      <c r="AI22" s="7">
        <f t="shared" si="55"/>
        <v>0</v>
      </c>
      <c r="AJ22" s="33">
        <f>SUM([1]pla!$J$1787)</f>
        <v>0</v>
      </c>
      <c r="AK22" s="7">
        <f t="shared" si="56"/>
        <v>0</v>
      </c>
      <c r="AL22" s="8">
        <f t="shared" si="57"/>
        <v>0</v>
      </c>
      <c r="AM22" s="7">
        <f t="shared" si="58"/>
        <v>0</v>
      </c>
      <c r="AN22" s="33">
        <f>SUM([1]pla!$N$1787)</f>
        <v>0</v>
      </c>
      <c r="AO22" s="9">
        <f t="shared" si="59"/>
        <v>0</v>
      </c>
      <c r="AP22" s="31">
        <f>SUM([1]pla!$F$1801)</f>
        <v>3494841.7239999999</v>
      </c>
      <c r="AQ22" s="7">
        <f t="shared" si="60"/>
        <v>0.37450583556308209</v>
      </c>
      <c r="AR22" s="33">
        <f>SUM([1]pla!$J$1801)</f>
        <v>2657353.4890000001</v>
      </c>
      <c r="AS22" s="7">
        <f t="shared" si="61"/>
        <v>76.036447394777639</v>
      </c>
      <c r="AT22" s="8">
        <f t="shared" si="62"/>
        <v>701486.81689999998</v>
      </c>
      <c r="AU22" s="7">
        <f t="shared" si="63"/>
        <v>20.072062551007818</v>
      </c>
      <c r="AV22" s="33">
        <f>SUM([1]pla!$N$1801)</f>
        <v>3358840.3059</v>
      </c>
      <c r="AW22" s="9">
        <f t="shared" si="64"/>
        <v>96.108509945785457</v>
      </c>
      <c r="AX22" s="6"/>
      <c r="AY22" s="7">
        <f t="shared" si="65"/>
        <v>0</v>
      </c>
      <c r="AZ22" s="6"/>
      <c r="BA22" s="7">
        <f t="shared" si="66"/>
        <v>0</v>
      </c>
      <c r="BB22" s="8"/>
      <c r="BC22" s="7">
        <f t="shared" si="67"/>
        <v>0</v>
      </c>
      <c r="BD22" s="6"/>
      <c r="BE22" s="9">
        <f t="shared" si="68"/>
        <v>0</v>
      </c>
      <c r="BF22" s="31">
        <f>SUM([1]pla!$D$432)</f>
        <v>27701000</v>
      </c>
      <c r="BG22" s="8">
        <f t="shared" si="40"/>
        <v>26494841.723999999</v>
      </c>
      <c r="BH22" s="10">
        <f t="shared" si="6"/>
        <v>0.18669317526451382</v>
      </c>
      <c r="BI22" s="6">
        <f>SUM([2]plan!$H$320)</f>
        <v>0</v>
      </c>
      <c r="BJ22" s="8">
        <f t="shared" si="41"/>
        <v>26494841.723999999</v>
      </c>
      <c r="BK22" s="8">
        <f t="shared" si="42"/>
        <v>12181913.603</v>
      </c>
      <c r="BL22" s="7">
        <f t="shared" si="36"/>
        <v>45.978435085215764</v>
      </c>
      <c r="BM22" s="8">
        <f t="shared" si="43"/>
        <v>5561572.0409000013</v>
      </c>
      <c r="BN22" s="7">
        <f t="shared" si="7"/>
        <v>20.991150273081743</v>
      </c>
      <c r="BO22" s="11">
        <f t="shared" si="8"/>
        <v>17743485.6439</v>
      </c>
      <c r="BP22" s="9">
        <f t="shared" si="32"/>
        <v>66.969585358297508</v>
      </c>
    </row>
    <row r="23" spans="1:68" x14ac:dyDescent="0.2">
      <c r="A23" s="5" t="s">
        <v>39</v>
      </c>
      <c r="B23" s="31">
        <f>SUM([1]int!$F$434)</f>
        <v>364053973.82099998</v>
      </c>
      <c r="C23" s="7">
        <f t="shared" si="44"/>
        <v>10.737447681886833</v>
      </c>
      <c r="D23" s="33">
        <f>SUM([1]int!$J$434)</f>
        <v>245561602.92199999</v>
      </c>
      <c r="E23" s="7">
        <f t="shared" si="9"/>
        <v>67.451977063911698</v>
      </c>
      <c r="F23" s="8">
        <f t="shared" si="10"/>
        <v>118343986.8416</v>
      </c>
      <c r="G23" s="7">
        <f t="shared" si="11"/>
        <v>32.507264128859092</v>
      </c>
      <c r="H23" s="33">
        <f>SUM([1]int!$N$434)</f>
        <v>363905589.76359999</v>
      </c>
      <c r="I23" s="9">
        <f t="shared" si="12"/>
        <v>99.95924119277079</v>
      </c>
      <c r="J23" s="31">
        <f>SUM([1]int!$F$885)</f>
        <v>170380461.79599997</v>
      </c>
      <c r="K23" s="7">
        <f t="shared" si="45"/>
        <v>3.2381754427180476</v>
      </c>
      <c r="L23" s="33">
        <f>SUM([1]int!$J$885)</f>
        <v>23344932.154999997</v>
      </c>
      <c r="M23" s="7">
        <f t="shared" si="46"/>
        <v>13.701648598036648</v>
      </c>
      <c r="N23" s="8">
        <f t="shared" si="47"/>
        <v>51601322.059</v>
      </c>
      <c r="O23" s="7">
        <f t="shared" si="48"/>
        <v>30.285938607669298</v>
      </c>
      <c r="P23" s="33">
        <f>SUM([1]int!$N$885)</f>
        <v>74946254.214000002</v>
      </c>
      <c r="Q23" s="9">
        <f t="shared" si="49"/>
        <v>43.98758720570595</v>
      </c>
      <c r="R23" s="6">
        <f t="shared" si="37"/>
        <v>534434435.61699998</v>
      </c>
      <c r="S23" s="7">
        <f t="shared" si="50"/>
        <v>6.1769140640034603</v>
      </c>
      <c r="T23" s="6">
        <f t="shared" si="38"/>
        <v>268906535.07699996</v>
      </c>
      <c r="U23" s="7">
        <f t="shared" si="51"/>
        <v>50.316094389866485</v>
      </c>
      <c r="V23" s="8">
        <f t="shared" si="52"/>
        <v>169945308.90060002</v>
      </c>
      <c r="W23" s="7">
        <f t="shared" si="53"/>
        <v>31.799094065561029</v>
      </c>
      <c r="X23" s="6">
        <f t="shared" si="39"/>
        <v>438851843.97759998</v>
      </c>
      <c r="Y23" s="9">
        <f t="shared" si="54"/>
        <v>82.115188455427514</v>
      </c>
      <c r="Z23" s="6"/>
      <c r="AA23" s="7"/>
      <c r="AB23" s="8"/>
      <c r="AC23" s="7"/>
      <c r="AD23" s="8"/>
      <c r="AE23" s="7"/>
      <c r="AF23" s="8"/>
      <c r="AG23" s="9"/>
      <c r="AH23" s="31">
        <f>SUM([1]int!$F$1787)</f>
        <v>2241398</v>
      </c>
      <c r="AI23" s="7">
        <f t="shared" si="55"/>
        <v>0.28409013269984801</v>
      </c>
      <c r="AJ23" s="33">
        <f>SUM([1]int!$J$1787)</f>
        <v>740186.78</v>
      </c>
      <c r="AK23" s="7">
        <f t="shared" si="56"/>
        <v>33.023442512217819</v>
      </c>
      <c r="AL23" s="8">
        <f t="shared" si="57"/>
        <v>0</v>
      </c>
      <c r="AM23" s="7">
        <f t="shared" si="58"/>
        <v>0</v>
      </c>
      <c r="AN23" s="33">
        <f>SUM([1]int!$N$1787)</f>
        <v>740186.78</v>
      </c>
      <c r="AO23" s="9">
        <f t="shared" si="59"/>
        <v>33.023442512217819</v>
      </c>
      <c r="AP23" s="31">
        <f>SUM([1]int!$F$1801)</f>
        <v>72181645.383000001</v>
      </c>
      <c r="AQ23" s="7">
        <f t="shared" si="60"/>
        <v>7.7349561300128569</v>
      </c>
      <c r="AR23" s="33">
        <f>SUM([1]int!$J$1801)</f>
        <v>60810166.853</v>
      </c>
      <c r="AS23" s="7">
        <f t="shared" si="61"/>
        <v>84.246024775879974</v>
      </c>
      <c r="AT23" s="8">
        <f t="shared" si="62"/>
        <v>11009451.061999992</v>
      </c>
      <c r="AU23" s="7">
        <f t="shared" si="63"/>
        <v>15.252424634521983</v>
      </c>
      <c r="AV23" s="33">
        <f>SUM([1]int!$N$1801)</f>
        <v>71819617.914999992</v>
      </c>
      <c r="AW23" s="9">
        <f t="shared" si="64"/>
        <v>99.498449410401946</v>
      </c>
      <c r="AX23" s="6"/>
      <c r="AY23" s="7">
        <f t="shared" si="65"/>
        <v>0</v>
      </c>
      <c r="AZ23" s="6"/>
      <c r="BA23" s="7">
        <f t="shared" si="66"/>
        <v>0</v>
      </c>
      <c r="BB23" s="8"/>
      <c r="BC23" s="7">
        <f t="shared" si="67"/>
        <v>0</v>
      </c>
      <c r="BD23" s="6"/>
      <c r="BE23" s="9">
        <f t="shared" si="68"/>
        <v>0</v>
      </c>
      <c r="BF23" s="31">
        <f>SUM([1]int!$D$432)</f>
        <v>608857479</v>
      </c>
      <c r="BG23" s="8">
        <f t="shared" si="40"/>
        <v>608857479</v>
      </c>
      <c r="BH23" s="10">
        <f t="shared" si="6"/>
        <v>4.2902515599891657</v>
      </c>
      <c r="BI23" s="6">
        <f>SUM([2]inte!$H$320)</f>
        <v>0</v>
      </c>
      <c r="BJ23" s="8">
        <f t="shared" si="41"/>
        <v>608857479</v>
      </c>
      <c r="BK23" s="8">
        <f t="shared" si="42"/>
        <v>330456888.70999992</v>
      </c>
      <c r="BL23" s="7">
        <f t="shared" si="36"/>
        <v>54.274916562205831</v>
      </c>
      <c r="BM23" s="8">
        <f t="shared" si="43"/>
        <v>180954759.96259999</v>
      </c>
      <c r="BN23" s="7">
        <f t="shared" si="7"/>
        <v>29.720380582300443</v>
      </c>
      <c r="BO23" s="11">
        <f t="shared" si="8"/>
        <v>511411648.67259991</v>
      </c>
      <c r="BP23" s="9">
        <f t="shared" si="32"/>
        <v>83.995297144506281</v>
      </c>
    </row>
    <row r="24" spans="1:68" x14ac:dyDescent="0.2">
      <c r="A24" s="5" t="s">
        <v>40</v>
      </c>
      <c r="B24" s="31">
        <f>SUM([1]dasc!$F$434)</f>
        <v>175560.39999999991</v>
      </c>
      <c r="C24" s="7">
        <f t="shared" si="44"/>
        <v>5.1779976200396751E-3</v>
      </c>
      <c r="D24" s="33">
        <f>SUM([1]dasc!$J$434)</f>
        <v>143992.93300000002</v>
      </c>
      <c r="E24" s="7">
        <f t="shared" si="9"/>
        <v>82.019027639490503</v>
      </c>
      <c r="F24" s="8">
        <f t="shared" si="10"/>
        <v>31567.466999999975</v>
      </c>
      <c r="G24" s="7">
        <f t="shared" si="11"/>
        <v>17.98097236050954</v>
      </c>
      <c r="H24" s="33">
        <f>SUM([1]dasc!$N$434)</f>
        <v>175560.4</v>
      </c>
      <c r="I24" s="9">
        <f t="shared" si="12"/>
        <v>100.00000000000004</v>
      </c>
      <c r="J24" s="31">
        <f>SUM([1]dasc!$F$885)</f>
        <v>1868157.074</v>
      </c>
      <c r="K24" s="7">
        <f t="shared" si="45"/>
        <v>3.5505364267705168E-2</v>
      </c>
      <c r="L24" s="33">
        <f>SUM([1]dasc!$J$885)</f>
        <v>6072.1930000000002</v>
      </c>
      <c r="M24" s="7">
        <f t="shared" si="46"/>
        <v>0.32503653383912406</v>
      </c>
      <c r="N24" s="8">
        <f t="shared" si="47"/>
        <v>544093.6</v>
      </c>
      <c r="O24" s="7">
        <f t="shared" si="48"/>
        <v>29.124617387499178</v>
      </c>
      <c r="P24" s="33">
        <f>SUM([1]dasc!$N$885)</f>
        <v>550165.79299999995</v>
      </c>
      <c r="Q24" s="9">
        <f t="shared" si="49"/>
        <v>29.449653921338303</v>
      </c>
      <c r="R24" s="6">
        <f t="shared" si="37"/>
        <v>2043717.4739999999</v>
      </c>
      <c r="S24" s="7">
        <f t="shared" si="50"/>
        <v>2.3620983916251729E-2</v>
      </c>
      <c r="T24" s="6">
        <f t="shared" si="38"/>
        <v>150065.12600000002</v>
      </c>
      <c r="U24" s="7">
        <f t="shared" si="51"/>
        <v>7.342752993459996</v>
      </c>
      <c r="V24" s="8">
        <f t="shared" si="52"/>
        <v>575661.06699999992</v>
      </c>
      <c r="W24" s="7">
        <f t="shared" si="53"/>
        <v>28.16735064036547</v>
      </c>
      <c r="X24" s="6">
        <f t="shared" si="39"/>
        <v>725726.19299999997</v>
      </c>
      <c r="Y24" s="9">
        <f t="shared" si="54"/>
        <v>35.510103633825466</v>
      </c>
      <c r="Z24" s="6"/>
      <c r="AA24" s="7"/>
      <c r="AB24" s="8"/>
      <c r="AC24" s="7"/>
      <c r="AD24" s="8"/>
      <c r="AE24" s="7"/>
      <c r="AF24" s="8"/>
      <c r="AG24" s="9"/>
      <c r="AH24" s="31">
        <f>SUM([1]dasc!$F$1787)</f>
        <v>0</v>
      </c>
      <c r="AI24" s="7">
        <f t="shared" si="55"/>
        <v>0</v>
      </c>
      <c r="AJ24" s="33">
        <f>SUM([1]dasc!$J$1787)</f>
        <v>0</v>
      </c>
      <c r="AK24" s="7">
        <f t="shared" si="56"/>
        <v>0</v>
      </c>
      <c r="AL24" s="8">
        <f t="shared" si="57"/>
        <v>0</v>
      </c>
      <c r="AM24" s="7">
        <f t="shared" si="58"/>
        <v>0</v>
      </c>
      <c r="AN24" s="33">
        <f>SUM([1]dasc!$N$1787)</f>
        <v>0</v>
      </c>
      <c r="AO24" s="9">
        <f t="shared" si="59"/>
        <v>0</v>
      </c>
      <c r="AP24" s="31">
        <f>SUM([1]dasc!$F$1801)</f>
        <v>1246282.459</v>
      </c>
      <c r="AQ24" s="7">
        <f t="shared" si="60"/>
        <v>0.13355112778074626</v>
      </c>
      <c r="AR24" s="33">
        <f>SUM([1]dasc!$J$1801)</f>
        <v>626173.52</v>
      </c>
      <c r="AS24" s="7">
        <f t="shared" si="61"/>
        <v>50.243306842530146</v>
      </c>
      <c r="AT24" s="8">
        <f t="shared" si="62"/>
        <v>614204.60599999991</v>
      </c>
      <c r="AU24" s="7">
        <f t="shared" si="63"/>
        <v>49.282937552762256</v>
      </c>
      <c r="AV24" s="33">
        <f>SUM([1]dasc!$N$1801)</f>
        <v>1240378.1259999999</v>
      </c>
      <c r="AW24" s="9">
        <f t="shared" si="64"/>
        <v>99.526244395292409</v>
      </c>
      <c r="AX24" s="6"/>
      <c r="AY24" s="7">
        <f t="shared" si="65"/>
        <v>0</v>
      </c>
      <c r="AZ24" s="6"/>
      <c r="BA24" s="7">
        <f t="shared" si="66"/>
        <v>0</v>
      </c>
      <c r="BB24" s="8"/>
      <c r="BC24" s="7">
        <f t="shared" si="67"/>
        <v>0</v>
      </c>
      <c r="BD24" s="6"/>
      <c r="BE24" s="9">
        <f t="shared" si="68"/>
        <v>0</v>
      </c>
      <c r="BF24" s="31">
        <f>SUM([1]dasc!$D$432)</f>
        <v>3290000</v>
      </c>
      <c r="BG24" s="8">
        <f t="shared" si="40"/>
        <v>3289999.9330000002</v>
      </c>
      <c r="BH24" s="10">
        <f t="shared" si="6"/>
        <v>2.3182645909351641E-2</v>
      </c>
      <c r="BI24" s="6">
        <f>SUM([2]dasc!$H$320)</f>
        <v>0</v>
      </c>
      <c r="BJ24" s="8">
        <f t="shared" si="41"/>
        <v>3289999.9330000002</v>
      </c>
      <c r="BK24" s="8">
        <f t="shared" si="42"/>
        <v>776238.64600000007</v>
      </c>
      <c r="BL24" s="7">
        <f t="shared" si="36"/>
        <v>23.593880298112456</v>
      </c>
      <c r="BM24" s="8">
        <f t="shared" si="43"/>
        <v>1189865.673</v>
      </c>
      <c r="BN24" s="7">
        <f t="shared" si="7"/>
        <v>36.166130614933358</v>
      </c>
      <c r="BO24" s="11">
        <f t="shared" si="8"/>
        <v>1966104.3190000001</v>
      </c>
      <c r="BP24" s="9">
        <f t="shared" si="32"/>
        <v>59.760010913045811</v>
      </c>
    </row>
    <row r="25" spans="1:68" x14ac:dyDescent="0.2">
      <c r="A25" s="5" t="s">
        <v>41</v>
      </c>
      <c r="B25" s="31">
        <f>SUM([1]amb!$F$434)</f>
        <v>18701049.658</v>
      </c>
      <c r="C25" s="7">
        <f t="shared" si="44"/>
        <v>0.55157080196540809</v>
      </c>
      <c r="D25" s="33">
        <f>SUM([1]amb!$J$434)</f>
        <v>11816992.604</v>
      </c>
      <c r="E25" s="7">
        <f t="shared" si="9"/>
        <v>63.188926932477749</v>
      </c>
      <c r="F25" s="8">
        <f t="shared" si="10"/>
        <v>6866663.3210000005</v>
      </c>
      <c r="G25" s="7">
        <f t="shared" si="11"/>
        <v>36.718063673300584</v>
      </c>
      <c r="H25" s="33">
        <f>SUM([1]amb!$N$434)</f>
        <v>18683655.925000001</v>
      </c>
      <c r="I25" s="9">
        <f t="shared" si="12"/>
        <v>99.906990605778333</v>
      </c>
      <c r="J25" s="31">
        <f>SUM([1]amb!$F$885)</f>
        <v>26434798.015999999</v>
      </c>
      <c r="K25" s="7">
        <f t="shared" si="45"/>
        <v>0.50240803943303214</v>
      </c>
      <c r="L25" s="33">
        <f>SUM([1]amb!$J$885)</f>
        <v>108718.45300000001</v>
      </c>
      <c r="M25" s="7">
        <f t="shared" si="46"/>
        <v>0.41127022394571272</v>
      </c>
      <c r="N25" s="8">
        <f t="shared" si="47"/>
        <v>7300311.6619999986</v>
      </c>
      <c r="O25" s="7">
        <f t="shared" si="48"/>
        <v>27.616294467547633</v>
      </c>
      <c r="P25" s="33">
        <f>SUM([1]amb!$N$885)</f>
        <v>7409030.1149999984</v>
      </c>
      <c r="Q25" s="9">
        <f t="shared" si="49"/>
        <v>28.027564691493346</v>
      </c>
      <c r="R25" s="6">
        <f t="shared" si="37"/>
        <v>45135847.673999995</v>
      </c>
      <c r="S25" s="7">
        <f t="shared" si="50"/>
        <v>0.5216734433782807</v>
      </c>
      <c r="T25" s="6">
        <f t="shared" si="38"/>
        <v>11925711.057</v>
      </c>
      <c r="U25" s="7">
        <f t="shared" si="51"/>
        <v>26.421816962727995</v>
      </c>
      <c r="V25" s="8">
        <f t="shared" si="52"/>
        <v>14166974.982999999</v>
      </c>
      <c r="W25" s="7">
        <f t="shared" si="53"/>
        <v>31.387413138494637</v>
      </c>
      <c r="X25" s="6">
        <f t="shared" si="39"/>
        <v>26092686.039999999</v>
      </c>
      <c r="Y25" s="9">
        <f t="shared" si="54"/>
        <v>57.809230101222632</v>
      </c>
      <c r="Z25" s="6"/>
      <c r="AA25" s="7"/>
      <c r="AB25" s="8"/>
      <c r="AC25" s="7"/>
      <c r="AD25" s="8"/>
      <c r="AE25" s="7"/>
      <c r="AF25" s="8"/>
      <c r="AG25" s="9"/>
      <c r="AH25" s="31">
        <f>SUM([1]amb!$F$1787)</f>
        <v>1025254</v>
      </c>
      <c r="AI25" s="7">
        <f t="shared" si="55"/>
        <v>0.12994771339630445</v>
      </c>
      <c r="AJ25" s="33">
        <f>SUM([1]amb!$J$1787)</f>
        <v>197880.73499999999</v>
      </c>
      <c r="AK25" s="7">
        <f t="shared" si="56"/>
        <v>19.300654764575413</v>
      </c>
      <c r="AL25" s="8">
        <f t="shared" si="57"/>
        <v>4198.0330000000249</v>
      </c>
      <c r="AM25" s="7">
        <f t="shared" si="58"/>
        <v>0.40946272826051155</v>
      </c>
      <c r="AN25" s="33">
        <f>SUM([1]amb!$N$1787)</f>
        <v>202078.76800000001</v>
      </c>
      <c r="AO25" s="9">
        <f t="shared" si="59"/>
        <v>19.710117492835924</v>
      </c>
      <c r="AP25" s="31">
        <f>SUM([1]amb!$F$1801)</f>
        <v>7075847.989000001</v>
      </c>
      <c r="AQ25" s="7">
        <f t="shared" si="60"/>
        <v>0.75824502873475474</v>
      </c>
      <c r="AR25" s="33">
        <f>SUM([1]amb!$J$1801)</f>
        <v>3840464.9000000004</v>
      </c>
      <c r="AS25" s="7">
        <f t="shared" si="61"/>
        <v>54.27568407306552</v>
      </c>
      <c r="AT25" s="8">
        <f t="shared" si="62"/>
        <v>2744823.9979999997</v>
      </c>
      <c r="AU25" s="7">
        <f t="shared" si="63"/>
        <v>38.791449480925237</v>
      </c>
      <c r="AV25" s="33">
        <f>SUM([1]amb!$N$1801)</f>
        <v>6585288.898</v>
      </c>
      <c r="AW25" s="9">
        <f t="shared" si="64"/>
        <v>93.067133553990757</v>
      </c>
      <c r="AX25" s="6"/>
      <c r="AY25" s="7">
        <f t="shared" si="65"/>
        <v>0</v>
      </c>
      <c r="AZ25" s="6"/>
      <c r="BA25" s="7">
        <f t="shared" si="66"/>
        <v>0</v>
      </c>
      <c r="BB25" s="8"/>
      <c r="BC25" s="7">
        <f t="shared" si="67"/>
        <v>0</v>
      </c>
      <c r="BD25" s="6"/>
      <c r="BE25" s="9">
        <f t="shared" si="68"/>
        <v>0</v>
      </c>
      <c r="BF25" s="31">
        <f>SUM([1]amb!$D$432)</f>
        <v>53852377</v>
      </c>
      <c r="BG25" s="8">
        <f t="shared" si="40"/>
        <v>53236949.662999995</v>
      </c>
      <c r="BH25" s="10">
        <f t="shared" si="6"/>
        <v>0.37512868646350395</v>
      </c>
      <c r="BI25" s="6">
        <f>SUM([2]ambi!$H$320)</f>
        <v>0</v>
      </c>
      <c r="BJ25" s="8">
        <f t="shared" si="41"/>
        <v>53236949.662999995</v>
      </c>
      <c r="BK25" s="8">
        <f t="shared" si="42"/>
        <v>15964056.692</v>
      </c>
      <c r="BL25" s="7">
        <f t="shared" si="36"/>
        <v>29.986798253948642</v>
      </c>
      <c r="BM25" s="8">
        <f t="shared" si="43"/>
        <v>16915997.013999999</v>
      </c>
      <c r="BN25" s="7">
        <f t="shared" si="7"/>
        <v>31.774917836355147</v>
      </c>
      <c r="BO25" s="11">
        <f t="shared" si="8"/>
        <v>32880053.706</v>
      </c>
      <c r="BP25" s="9">
        <f t="shared" si="32"/>
        <v>61.7617160903038</v>
      </c>
    </row>
    <row r="26" spans="1:68" ht="25.5" x14ac:dyDescent="0.2">
      <c r="A26" s="5" t="s">
        <v>353</v>
      </c>
      <c r="B26" s="31">
        <f>SUM([1]dad!$F$434)</f>
        <v>2893730.2180000003</v>
      </c>
      <c r="C26" s="7">
        <f t="shared" si="44"/>
        <v>8.5347995230364598E-2</v>
      </c>
      <c r="D26" s="33">
        <f>SUM([1]dad!$J$434)</f>
        <v>2575813.6710000001</v>
      </c>
      <c r="E26" s="7">
        <f t="shared" si="9"/>
        <v>89.013607936826673</v>
      </c>
      <c r="F26" s="8">
        <f t="shared" si="10"/>
        <v>311450.17399999965</v>
      </c>
      <c r="G26" s="7">
        <f t="shared" si="11"/>
        <v>10.76293056148331</v>
      </c>
      <c r="H26" s="33">
        <f>SUM([1]dad!$N$434)</f>
        <v>2887263.8449999997</v>
      </c>
      <c r="I26" s="9">
        <f t="shared" si="12"/>
        <v>99.776538498309989</v>
      </c>
      <c r="J26" s="31">
        <f>SUM([1]dad!$F$885)</f>
        <v>4655269.7819999997</v>
      </c>
      <c r="K26" s="7">
        <f t="shared" si="45"/>
        <v>8.8475991486329592E-2</v>
      </c>
      <c r="L26" s="33">
        <f>SUM([1]dad!$J$885)</f>
        <v>207366.57500000001</v>
      </c>
      <c r="M26" s="7">
        <f t="shared" si="46"/>
        <v>4.4544480709109635</v>
      </c>
      <c r="N26" s="8">
        <f t="shared" si="47"/>
        <v>1699873.7470000002</v>
      </c>
      <c r="O26" s="7">
        <f t="shared" si="48"/>
        <v>36.515042663536022</v>
      </c>
      <c r="P26" s="33">
        <f>SUM([1]dad!$N$885)</f>
        <v>1907240.3220000002</v>
      </c>
      <c r="Q26" s="9">
        <f t="shared" si="49"/>
        <v>40.969490734446985</v>
      </c>
      <c r="R26" s="6">
        <f t="shared" si="37"/>
        <v>7549000</v>
      </c>
      <c r="S26" s="7">
        <f t="shared" si="50"/>
        <v>8.7250224090310982E-2</v>
      </c>
      <c r="T26" s="6">
        <f t="shared" si="38"/>
        <v>2783180.2460000003</v>
      </c>
      <c r="U26" s="7">
        <f t="shared" si="51"/>
        <v>36.868197721552527</v>
      </c>
      <c r="V26" s="8">
        <f t="shared" si="52"/>
        <v>2011323.9209999992</v>
      </c>
      <c r="W26" s="7">
        <f t="shared" si="53"/>
        <v>26.643580884885402</v>
      </c>
      <c r="X26" s="6">
        <f t="shared" si="39"/>
        <v>4794504.1669999994</v>
      </c>
      <c r="Y26" s="9">
        <f t="shared" si="54"/>
        <v>63.511778606437929</v>
      </c>
      <c r="Z26" s="6"/>
      <c r="AA26" s="7"/>
      <c r="AB26" s="8"/>
      <c r="AC26" s="7"/>
      <c r="AD26" s="8"/>
      <c r="AE26" s="7"/>
      <c r="AF26" s="8"/>
      <c r="AG26" s="9"/>
      <c r="AH26" s="31">
        <f>SUM([1]dad!$F$1787)</f>
        <v>312400</v>
      </c>
      <c r="AI26" s="7">
        <f t="shared" si="55"/>
        <v>3.9595715466611697E-2</v>
      </c>
      <c r="AJ26" s="33">
        <f>SUM([1]dad!$J$1787)</f>
        <v>25443.852999999999</v>
      </c>
      <c r="AK26" s="7">
        <f t="shared" si="56"/>
        <v>8.1446392445582578</v>
      </c>
      <c r="AL26" s="8">
        <f t="shared" si="57"/>
        <v>0</v>
      </c>
      <c r="AM26" s="7">
        <f t="shared" si="58"/>
        <v>0</v>
      </c>
      <c r="AN26" s="33">
        <f>SUM([1]dad!$N$1787)</f>
        <v>25443.852999999999</v>
      </c>
      <c r="AO26" s="9">
        <f t="shared" si="59"/>
        <v>8.1446392445582578</v>
      </c>
      <c r="AP26" s="31">
        <f>SUM([1]dad!$F$1801)</f>
        <v>1379362.416</v>
      </c>
      <c r="AQ26" s="7">
        <f t="shared" si="60"/>
        <v>0.14781192252596317</v>
      </c>
      <c r="AR26" s="33">
        <f>SUM([1]dad!$J$1801)</f>
        <v>1174001.4839999999</v>
      </c>
      <c r="AS26" s="7">
        <f t="shared" si="61"/>
        <v>85.111894479804349</v>
      </c>
      <c r="AT26" s="8">
        <f t="shared" si="62"/>
        <v>205360.93200000003</v>
      </c>
      <c r="AU26" s="7">
        <f t="shared" si="63"/>
        <v>14.888105520195646</v>
      </c>
      <c r="AV26" s="33">
        <f>SUM([1]dad!$N$1801)</f>
        <v>1379362.416</v>
      </c>
      <c r="AW26" s="9">
        <f t="shared" si="64"/>
        <v>100</v>
      </c>
      <c r="AX26" s="6"/>
      <c r="AY26" s="7">
        <f t="shared" si="65"/>
        <v>0</v>
      </c>
      <c r="AZ26" s="6"/>
      <c r="BA26" s="7">
        <f t="shared" si="66"/>
        <v>0</v>
      </c>
      <c r="BB26" s="8"/>
      <c r="BC26" s="7">
        <f t="shared" si="67"/>
        <v>0</v>
      </c>
      <c r="BD26" s="6"/>
      <c r="BE26" s="9">
        <f t="shared" si="68"/>
        <v>0</v>
      </c>
      <c r="BF26" s="31">
        <f>SUM([1]dad!$D$432)</f>
        <v>9530565</v>
      </c>
      <c r="BG26" s="8">
        <f t="shared" si="40"/>
        <v>9240762.4159999993</v>
      </c>
      <c r="BH26" s="10">
        <f t="shared" si="6"/>
        <v>6.5114081272102192E-2</v>
      </c>
      <c r="BI26" s="6">
        <f>SUM([2]dade!$H$320)</f>
        <v>0</v>
      </c>
      <c r="BJ26" s="8">
        <f t="shared" si="41"/>
        <v>9240762.4159999993</v>
      </c>
      <c r="BK26" s="8">
        <f t="shared" si="42"/>
        <v>3982625.5830000006</v>
      </c>
      <c r="BL26" s="7">
        <f t="shared" si="36"/>
        <v>43.098452310647531</v>
      </c>
      <c r="BM26" s="8">
        <f t="shared" si="43"/>
        <v>2216684.8529999992</v>
      </c>
      <c r="BN26" s="7">
        <f t="shared" si="7"/>
        <v>23.988116490928288</v>
      </c>
      <c r="BO26" s="11">
        <f t="shared" si="8"/>
        <v>6199310.4359999998</v>
      </c>
      <c r="BP26" s="9">
        <f t="shared" si="32"/>
        <v>67.086568801575822</v>
      </c>
    </row>
    <row r="27" spans="1:68" ht="25.5" x14ac:dyDescent="0.2">
      <c r="A27" s="5" t="s">
        <v>43</v>
      </c>
      <c r="B27" s="31">
        <f>SUM([1]bom!$F$434)</f>
        <v>9298274.1750000007</v>
      </c>
      <c r="C27" s="7">
        <f t="shared" si="44"/>
        <v>0.2742443144845102</v>
      </c>
      <c r="D27" s="33">
        <f>SUM([1]bom!$J$434)</f>
        <v>7525453.3700000001</v>
      </c>
      <c r="E27" s="7">
        <f t="shared" si="9"/>
        <v>80.933872548450637</v>
      </c>
      <c r="F27" s="8">
        <f t="shared" si="10"/>
        <v>1173171.2419999996</v>
      </c>
      <c r="G27" s="7">
        <f t="shared" si="11"/>
        <v>12.617085922829324</v>
      </c>
      <c r="H27" s="33">
        <f>SUM([1]bom!$N$434)</f>
        <v>8698624.6119999997</v>
      </c>
      <c r="I27" s="9">
        <f t="shared" si="12"/>
        <v>93.550958471279955</v>
      </c>
      <c r="J27" s="31">
        <f>SUM([1]bom!$F$885)</f>
        <v>23650562.074999999</v>
      </c>
      <c r="K27" s="7">
        <f t="shared" si="45"/>
        <v>0.44949208677131181</v>
      </c>
      <c r="L27" s="33">
        <f>SUM([1]bom!$J$885)</f>
        <v>272947.49800000002</v>
      </c>
      <c r="M27" s="7">
        <f t="shared" si="46"/>
        <v>1.1540846138642988</v>
      </c>
      <c r="N27" s="8">
        <f t="shared" si="47"/>
        <v>3351371.1120000002</v>
      </c>
      <c r="O27" s="7">
        <f t="shared" si="48"/>
        <v>14.170365597960108</v>
      </c>
      <c r="P27" s="33">
        <f>SUM([1]bom!$N$885)</f>
        <v>3624318.6100000003</v>
      </c>
      <c r="Q27" s="9">
        <f t="shared" si="49"/>
        <v>15.324450211824409</v>
      </c>
      <c r="R27" s="6">
        <f t="shared" si="37"/>
        <v>32948836.25</v>
      </c>
      <c r="S27" s="7">
        <f t="shared" si="50"/>
        <v>0.38081777007914447</v>
      </c>
      <c r="T27" s="6">
        <f t="shared" si="38"/>
        <v>7798400.8679999998</v>
      </c>
      <c r="U27" s="7">
        <f t="shared" si="51"/>
        <v>23.668213374303924</v>
      </c>
      <c r="V27" s="8">
        <f t="shared" si="52"/>
        <v>4524542.3539999994</v>
      </c>
      <c r="W27" s="7">
        <f t="shared" si="53"/>
        <v>13.732024766125084</v>
      </c>
      <c r="X27" s="6">
        <f t="shared" si="39"/>
        <v>12322943.221999999</v>
      </c>
      <c r="Y27" s="9">
        <f t="shared" si="54"/>
        <v>37.400238140429011</v>
      </c>
      <c r="Z27" s="6"/>
      <c r="AA27" s="7"/>
      <c r="AB27" s="8"/>
      <c r="AC27" s="7"/>
      <c r="AD27" s="8"/>
      <c r="AE27" s="7"/>
      <c r="AF27" s="8"/>
      <c r="AG27" s="9"/>
      <c r="AH27" s="31">
        <f>SUM([1]bom!$F$1787)</f>
        <v>22099</v>
      </c>
      <c r="AI27" s="7">
        <f t="shared" si="55"/>
        <v>2.8009786046627782E-3</v>
      </c>
      <c r="AJ27" s="33">
        <f>SUM([1]bom!$J$1787)</f>
        <v>11356.476000000001</v>
      </c>
      <c r="AK27" s="7">
        <f t="shared" si="56"/>
        <v>51.389094529164211</v>
      </c>
      <c r="AL27" s="8">
        <f t="shared" si="57"/>
        <v>0</v>
      </c>
      <c r="AM27" s="7">
        <f t="shared" si="58"/>
        <v>0</v>
      </c>
      <c r="AN27" s="33">
        <f>SUM([1]bom!$N$1787)</f>
        <v>11356.476000000001</v>
      </c>
      <c r="AO27" s="9">
        <f t="shared" si="59"/>
        <v>51.389094529164211</v>
      </c>
      <c r="AP27" s="31">
        <f>SUM([1]bom!$F$1801)</f>
        <v>8997215.75</v>
      </c>
      <c r="AQ27" s="7">
        <f t="shared" si="60"/>
        <v>0.96413802635345691</v>
      </c>
      <c r="AR27" s="33">
        <f>SUM([1]bom!$J$1801)</f>
        <v>5866780.5060000001</v>
      </c>
      <c r="AS27" s="7">
        <f t="shared" si="61"/>
        <v>65.206622459842649</v>
      </c>
      <c r="AT27" s="8">
        <f t="shared" si="62"/>
        <v>3018432.4249999998</v>
      </c>
      <c r="AU27" s="7">
        <f t="shared" si="63"/>
        <v>33.548516661946223</v>
      </c>
      <c r="AV27" s="33">
        <f>SUM([1]bom!$N$1801)</f>
        <v>8885212.9309999999</v>
      </c>
      <c r="AW27" s="9">
        <f t="shared" si="64"/>
        <v>98.755139121788872</v>
      </c>
      <c r="AX27" s="6"/>
      <c r="AY27" s="7">
        <f t="shared" si="65"/>
        <v>0</v>
      </c>
      <c r="AZ27" s="6"/>
      <c r="BA27" s="7">
        <f t="shared" si="66"/>
        <v>0</v>
      </c>
      <c r="BB27" s="8"/>
      <c r="BC27" s="7">
        <f t="shared" si="67"/>
        <v>0</v>
      </c>
      <c r="BD27" s="6"/>
      <c r="BE27" s="9">
        <f t="shared" si="68"/>
        <v>0</v>
      </c>
      <c r="BF27" s="31">
        <f>SUM([1]bom!$D$432)</f>
        <v>41968151</v>
      </c>
      <c r="BG27" s="8">
        <f t="shared" si="40"/>
        <v>41968151</v>
      </c>
      <c r="BH27" s="10">
        <f t="shared" si="6"/>
        <v>0.29572425650964351</v>
      </c>
      <c r="BI27" s="6">
        <f>SUM([2]bomb!$H$320)</f>
        <v>0</v>
      </c>
      <c r="BJ27" s="8">
        <f t="shared" si="41"/>
        <v>41968151</v>
      </c>
      <c r="BK27" s="8">
        <f t="shared" si="42"/>
        <v>13676537.85</v>
      </c>
      <c r="BL27" s="7">
        <f t="shared" si="36"/>
        <v>32.587897069851849</v>
      </c>
      <c r="BM27" s="8">
        <f t="shared" si="43"/>
        <v>7542974.7789999992</v>
      </c>
      <c r="BN27" s="7">
        <f t="shared" si="7"/>
        <v>17.973092927062712</v>
      </c>
      <c r="BO27" s="11">
        <f t="shared" si="8"/>
        <v>21219512.629000001</v>
      </c>
      <c r="BP27" s="9">
        <f t="shared" si="32"/>
        <v>50.560989996914564</v>
      </c>
    </row>
    <row r="28" spans="1:68" s="17" customFormat="1" ht="15.75" x14ac:dyDescent="0.25">
      <c r="A28" s="256" t="s">
        <v>44</v>
      </c>
      <c r="B28" s="12">
        <f>SUM(B5:B27)-B10</f>
        <v>1586520133.2979999</v>
      </c>
      <c r="C28" s="13">
        <f t="shared" si="44"/>
        <v>46.792998161100549</v>
      </c>
      <c r="D28" s="14">
        <f>SUM(D5:D27)-D10</f>
        <v>1281357544.0269997</v>
      </c>
      <c r="E28" s="13">
        <f t="shared" si="9"/>
        <v>80.765287318690412</v>
      </c>
      <c r="F28" s="14">
        <f>SUM(F5:F27)-F10</f>
        <v>302708458.01260012</v>
      </c>
      <c r="G28" s="13">
        <f t="shared" si="11"/>
        <v>19.08002625742548</v>
      </c>
      <c r="H28" s="14">
        <f>SUM(H5:H27)-H10</f>
        <v>1584066002.0395997</v>
      </c>
      <c r="I28" s="15">
        <f t="shared" si="12"/>
        <v>99.845313576115885</v>
      </c>
      <c r="J28" s="12">
        <f>SUM(J5:J27)-J10</f>
        <v>1850140561.789</v>
      </c>
      <c r="K28" s="13">
        <f t="shared" si="45"/>
        <v>35.162950432279935</v>
      </c>
      <c r="L28" s="14">
        <f>SUM(L5:L27)-L10</f>
        <v>365404484.13800001</v>
      </c>
      <c r="M28" s="13">
        <f t="shared" si="46"/>
        <v>19.750093138040864</v>
      </c>
      <c r="N28" s="14">
        <f>SUM(N5:N27)-N10</f>
        <v>273177080.74299991</v>
      </c>
      <c r="O28" s="13">
        <f t="shared" si="48"/>
        <v>14.765206838060474</v>
      </c>
      <c r="P28" s="14">
        <f>SUM(P5:P27)-P10</f>
        <v>638581564.88100004</v>
      </c>
      <c r="Q28" s="15">
        <f t="shared" si="49"/>
        <v>34.515299976101346</v>
      </c>
      <c r="R28" s="12">
        <f>SUM(R5:R27)-R10</f>
        <v>3436660695.0869994</v>
      </c>
      <c r="S28" s="13">
        <f t="shared" si="50"/>
        <v>39.720415388621618</v>
      </c>
      <c r="T28" s="14">
        <f>SUM(T5:T27)-T10</f>
        <v>1646762028.1649997</v>
      </c>
      <c r="U28" s="13">
        <f t="shared" si="51"/>
        <v>47.917504061986307</v>
      </c>
      <c r="V28" s="14">
        <f>SUM(V5:V27)-V10</f>
        <v>575885538.75560009</v>
      </c>
      <c r="W28" s="13">
        <f t="shared" si="53"/>
        <v>16.757125298371111</v>
      </c>
      <c r="X28" s="14">
        <f>SUM(X5:X27)-X10</f>
        <v>2222647566.9205999</v>
      </c>
      <c r="Y28" s="15">
        <f t="shared" si="54"/>
        <v>64.674629360357414</v>
      </c>
      <c r="Z28" s="12">
        <f>SUM(Z5:Z27)-Z10</f>
        <v>3737867143</v>
      </c>
      <c r="AA28" s="13">
        <f t="shared" ref="AA28:AA67" si="69">IF(OR(Z28=0,Z$84=0),0,Z28/Z$84)*100</f>
        <v>95.83961117002066</v>
      </c>
      <c r="AB28" s="14">
        <f>SUM(AB5:AB27)-AB10</f>
        <v>382385357.241</v>
      </c>
      <c r="AC28" s="13">
        <f t="shared" si="33"/>
        <v>10.230041427692338</v>
      </c>
      <c r="AD28" s="14">
        <f>SUM(AD5:AD27)-AD10</f>
        <v>0</v>
      </c>
      <c r="AE28" s="13">
        <f t="shared" si="34"/>
        <v>0</v>
      </c>
      <c r="AF28" s="14">
        <f>SUM(AF5:AF27)-AF10</f>
        <v>382385357.241</v>
      </c>
      <c r="AG28" s="15">
        <f t="shared" si="35"/>
        <v>10.230041427692338</v>
      </c>
      <c r="AH28" s="12">
        <f>SUM(AH5:AH27)-AH10</f>
        <v>85447579.36999999</v>
      </c>
      <c r="AI28" s="13">
        <f t="shared" si="55"/>
        <v>10.830211395791418</v>
      </c>
      <c r="AJ28" s="14">
        <f>SUM(AJ5:AJ27)-AJ10</f>
        <v>21144863.941000003</v>
      </c>
      <c r="AK28" s="13">
        <f t="shared" si="56"/>
        <v>24.746006963450398</v>
      </c>
      <c r="AL28" s="14">
        <f>SUM(AL5:AL27)-AL10</f>
        <v>169319.58499999947</v>
      </c>
      <c r="AM28" s="13">
        <f t="shared" si="58"/>
        <v>0.19815609318412866</v>
      </c>
      <c r="AN28" s="14">
        <f>SUM(AN5:AN27)-AN10</f>
        <v>21314183.526000001</v>
      </c>
      <c r="AO28" s="15">
        <f t="shared" ref="AO28:AO67" si="70">IF(OR(AN28=0,AH28=0),0,AN28/AH28)*100</f>
        <v>24.944163056634526</v>
      </c>
      <c r="AP28" s="12">
        <f>SUM(AP5:AP27)-AP10</f>
        <v>350658062.48800004</v>
      </c>
      <c r="AQ28" s="13">
        <f t="shared" si="60"/>
        <v>37.576377146686461</v>
      </c>
      <c r="AR28" s="14">
        <f>SUM(AR5:AR27)-AR10</f>
        <v>245665191.89500004</v>
      </c>
      <c r="AS28" s="13">
        <f t="shared" si="61"/>
        <v>70.058332653739285</v>
      </c>
      <c r="AT28" s="14">
        <f>SUM(AT5:AT27)-AT10</f>
        <v>103068404.00889994</v>
      </c>
      <c r="AU28" s="13">
        <f t="shared" si="63"/>
        <v>29.392851622348502</v>
      </c>
      <c r="AV28" s="14">
        <f>SUM(AV5:AV27)-AV10</f>
        <v>348733595.90389997</v>
      </c>
      <c r="AW28" s="15">
        <f t="shared" ref="AW28:AW67" si="71">IF(OR(AV28=0,AP28=0),0,AV28/AP28)*100</f>
        <v>99.451184276087787</v>
      </c>
      <c r="AX28" s="12">
        <f>SUM(AX5:AX27)-AX10</f>
        <v>0</v>
      </c>
      <c r="AY28" s="13">
        <f t="shared" si="65"/>
        <v>0</v>
      </c>
      <c r="AZ28" s="14">
        <f>SUM(AZ5:AZ27)-AZ10</f>
        <v>0</v>
      </c>
      <c r="BA28" s="13">
        <f t="shared" ref="BA28:BA67" si="72">IF(OR(AZ28=0,AX28=0),0,AZ28/AX28)*100</f>
        <v>0</v>
      </c>
      <c r="BB28" s="14">
        <f>SUM(BB5:BB27)-BB10</f>
        <v>0</v>
      </c>
      <c r="BC28" s="13">
        <f t="shared" ref="BC28:BC67" si="73">IF(OR(BB28=0,AX28=0),0,BB28/AX28)*100</f>
        <v>0</v>
      </c>
      <c r="BD28" s="14">
        <f>SUM(BD5:BD27)-BD10</f>
        <v>0</v>
      </c>
      <c r="BE28" s="15">
        <f t="shared" ref="BE28:BE67" si="74">IF(OR(BD28=0,AX28=0),0,BD28/AX28)*100</f>
        <v>0</v>
      </c>
      <c r="BF28" s="12">
        <f>SUM(BF5:BF27)-BF10</f>
        <v>7666521276.993</v>
      </c>
      <c r="BG28" s="14">
        <f>SUM(BG5:BG27)-BG10</f>
        <v>7610633479.9450026</v>
      </c>
      <c r="BH28" s="16">
        <f t="shared" si="6"/>
        <v>53.62754550287756</v>
      </c>
      <c r="BI28" s="12">
        <f>SUM(BI5:BI27)-BI10</f>
        <v>0</v>
      </c>
      <c r="BJ28" s="14">
        <f>SUM(BJ5:BJ27)-BJ10</f>
        <v>7610633479.9450026</v>
      </c>
      <c r="BK28" s="14">
        <f>SUM(BK5:BK27)-BK10</f>
        <v>2295957441.2419996</v>
      </c>
      <c r="BL28" s="13">
        <f t="shared" si="36"/>
        <v>30.167757352816192</v>
      </c>
      <c r="BM28" s="14">
        <f>SUM(BM5:BM27)-BM10</f>
        <v>679123262.34950006</v>
      </c>
      <c r="BN28" s="13">
        <f>IF(OR(BM28=0,BG28=0),0,BM28/BG28)*100</f>
        <v>8.9233473683771152</v>
      </c>
      <c r="BO28" s="14">
        <f>SUM(BO5:BO27)-BO10</f>
        <v>2975080703.5914989</v>
      </c>
      <c r="BP28" s="15">
        <f>IF(OR(BO28=0,BG28=0),0,BO28/BG28)*100</f>
        <v>39.091104721193297</v>
      </c>
    </row>
    <row r="29" spans="1:68" x14ac:dyDescent="0.2">
      <c r="A29" s="70" t="s">
        <v>45</v>
      </c>
      <c r="B29" s="6">
        <f>SUM([3]ipe!$F$434)</f>
        <v>19671460.454</v>
      </c>
      <c r="C29" s="7">
        <f t="shared" si="44"/>
        <v>0.58019220401364224</v>
      </c>
      <c r="D29" s="8">
        <f>SUM([3]ipe!$J$434)</f>
        <v>11636415.361000001</v>
      </c>
      <c r="E29" s="7">
        <f t="shared" si="9"/>
        <v>59.153794850213316</v>
      </c>
      <c r="F29" s="8">
        <f t="shared" ref="F29:F51" si="75">SUM(H29-D29)</f>
        <v>8031770.1609999985</v>
      </c>
      <c r="G29" s="7">
        <f t="shared" si="11"/>
        <v>40.829557011191895</v>
      </c>
      <c r="H29" s="8">
        <f>SUM([3]ipe!$N$434)</f>
        <v>19668185.522</v>
      </c>
      <c r="I29" s="9">
        <f t="shared" si="12"/>
        <v>99.983351861405211</v>
      </c>
      <c r="J29" s="6">
        <f>SUM([3]ipe!$F$885)</f>
        <v>21421593.987</v>
      </c>
      <c r="K29" s="7">
        <f t="shared" si="45"/>
        <v>0.40712930849802714</v>
      </c>
      <c r="L29" s="8">
        <f>SUM([3]ipe!$J$885)</f>
        <v>2015571.9170000001</v>
      </c>
      <c r="M29" s="7">
        <f t="shared" si="46"/>
        <v>9.4090660023860906</v>
      </c>
      <c r="N29" s="8">
        <f t="shared" ref="N29:N82" si="76">SUM(P29-L29)</f>
        <v>3090431.693</v>
      </c>
      <c r="O29" s="7">
        <f t="shared" si="48"/>
        <v>14.426712105903384</v>
      </c>
      <c r="P29" s="8">
        <f>SUM([3]ipe!$N$885)</f>
        <v>5106003.6100000003</v>
      </c>
      <c r="Q29" s="9">
        <f t="shared" si="49"/>
        <v>23.835778108289475</v>
      </c>
      <c r="R29" s="6">
        <f t="shared" ref="R29:R52" si="77">SUM(B29+J29)</f>
        <v>41093054.441</v>
      </c>
      <c r="S29" s="7">
        <f t="shared" si="50"/>
        <v>0.4749474378768842</v>
      </c>
      <c r="T29" s="6">
        <f t="shared" ref="T29:T52" si="78">SUM(D29+L29)</f>
        <v>13651987.278000001</v>
      </c>
      <c r="U29" s="7">
        <f t="shared" ref="U29:U52" si="79">IF(OR(T29=0,R29=0),0,T29/R29)*100</f>
        <v>33.222128322442074</v>
      </c>
      <c r="V29" s="8">
        <f t="shared" ref="V29:V52" si="80">SUM(X29-T29)</f>
        <v>11122201.853999998</v>
      </c>
      <c r="W29" s="7">
        <f t="shared" ref="W29:W52" si="81">IF(OR(V29=0,R29=0),0,V29/R29)*100</f>
        <v>27.065892290797887</v>
      </c>
      <c r="X29" s="6">
        <f t="shared" ref="X29:X52" si="82">SUM(H29+P29)</f>
        <v>24774189.131999999</v>
      </c>
      <c r="Y29" s="9">
        <f t="shared" ref="Y29:Y52" si="83">IF(OR(X29=0,R29=0),0,X29/R29)*100</f>
        <v>60.288020613239958</v>
      </c>
      <c r="Z29" s="6"/>
      <c r="AA29" s="7">
        <f t="shared" si="69"/>
        <v>0</v>
      </c>
      <c r="AB29" s="8"/>
      <c r="AC29" s="7">
        <f t="shared" si="33"/>
        <v>0</v>
      </c>
      <c r="AD29" s="8"/>
      <c r="AE29" s="7">
        <f t="shared" si="34"/>
        <v>0</v>
      </c>
      <c r="AF29" s="8"/>
      <c r="AG29" s="9">
        <f t="shared" si="35"/>
        <v>0</v>
      </c>
      <c r="AH29" s="6">
        <f>SUM([3]ipe!$F$1787)</f>
        <v>2094180</v>
      </c>
      <c r="AI29" s="7">
        <f t="shared" si="55"/>
        <v>0.26543071515963151</v>
      </c>
      <c r="AJ29" s="8">
        <f>SUM([3]ipe!$J$1787)</f>
        <v>730049.49100000004</v>
      </c>
      <c r="AK29" s="7">
        <f t="shared" si="56"/>
        <v>34.860875903695003</v>
      </c>
      <c r="AL29" s="8">
        <f t="shared" ref="AL29:AL82" si="84">SUM(AN29-AJ29)</f>
        <v>24585.909999999916</v>
      </c>
      <c r="AM29" s="7">
        <f t="shared" si="58"/>
        <v>1.1740113075284797</v>
      </c>
      <c r="AN29" s="8">
        <f>SUM([3]ipe!$N$1787)</f>
        <v>754635.40099999995</v>
      </c>
      <c r="AO29" s="9">
        <f t="shared" si="70"/>
        <v>36.034887211223484</v>
      </c>
      <c r="AP29" s="6">
        <f>SUM([3]ipe!$F$1801)</f>
        <v>9057205.7229999993</v>
      </c>
      <c r="AQ29" s="7">
        <f t="shared" si="60"/>
        <v>0.97056652776726549</v>
      </c>
      <c r="AR29" s="8">
        <f>SUM([3]ipe!$J$1801)</f>
        <v>6368571.5479999995</v>
      </c>
      <c r="AS29" s="7">
        <f t="shared" si="61"/>
        <v>70.314970673875237</v>
      </c>
      <c r="AT29" s="8">
        <f t="shared" ref="AT29:AT51" si="85">SUM(AV29-AR29)</f>
        <v>2682229.4850000003</v>
      </c>
      <c r="AU29" s="7">
        <f t="shared" si="63"/>
        <v>29.614315574048494</v>
      </c>
      <c r="AV29" s="8">
        <f>SUM([3]ipe!$N$1801)</f>
        <v>9050801.0329999998</v>
      </c>
      <c r="AW29" s="9">
        <f t="shared" si="71"/>
        <v>99.929286247923727</v>
      </c>
      <c r="AX29" s="6"/>
      <c r="AY29" s="7">
        <f t="shared" si="65"/>
        <v>0</v>
      </c>
      <c r="AZ29" s="8"/>
      <c r="BA29" s="7">
        <f t="shared" si="72"/>
        <v>0</v>
      </c>
      <c r="BB29" s="8"/>
      <c r="BC29" s="7">
        <f t="shared" si="73"/>
        <v>0</v>
      </c>
      <c r="BD29" s="8"/>
      <c r="BE29" s="9">
        <f t="shared" si="74"/>
        <v>0</v>
      </c>
      <c r="BF29" s="6">
        <f>SUM([3]ipe!$D$432)</f>
        <v>52244441</v>
      </c>
      <c r="BG29" s="8">
        <f t="shared" ref="BG29:BG48" si="86">SUM(R29+Z29+AH29+AP29+AX29)</f>
        <v>52244440.163999997</v>
      </c>
      <c r="BH29" s="10">
        <f t="shared" si="6"/>
        <v>0.36813507043141969</v>
      </c>
      <c r="BI29" s="6">
        <f>SUM([2]bomb!$H$320)</f>
        <v>0</v>
      </c>
      <c r="BJ29" s="8">
        <f t="shared" ref="BJ29:BJ48" si="87">SUM(BG29-BI29)</f>
        <v>52244440.163999997</v>
      </c>
      <c r="BK29" s="8">
        <f t="shared" ref="BK29:BK48" si="88">SUM(T29+AB29+AJ29+AR29+AZ29)</f>
        <v>20750608.317000002</v>
      </c>
      <c r="BL29" s="7">
        <f t="shared" ref="BL29:BL48" si="89">IF(OR(BK29=0,BG29=0),0,BK29/BG29)*100</f>
        <v>39.718309262884191</v>
      </c>
      <c r="BM29" s="8">
        <f t="shared" ref="BM29:BM51" si="90">SUM(V29+AD29+AL29+AT29+BB29)</f>
        <v>13829017.248999998</v>
      </c>
      <c r="BN29" s="7">
        <f t="shared" ref="BN29:BN48" si="91">IF(OR(BM29=0,BG29=0),0,BM29/BG29)*100</f>
        <v>26.469835269723379</v>
      </c>
      <c r="BO29" s="11">
        <f t="shared" ref="BO29:BO59" si="92">SUM(BK29+BM29)</f>
        <v>34579625.566</v>
      </c>
      <c r="BP29" s="9">
        <f t="shared" ref="BP29:BP47" si="93">IF(OR(BO29=0,BG29=0),0,BO29/BG29)*100</f>
        <v>66.188144532607566</v>
      </c>
    </row>
    <row r="30" spans="1:68" x14ac:dyDescent="0.2">
      <c r="A30" s="70" t="s">
        <v>46</v>
      </c>
      <c r="B30" s="6">
        <f>SUM([3]ffd!$F$434)</f>
        <v>529630290.42100012</v>
      </c>
      <c r="C30" s="7">
        <f t="shared" si="44"/>
        <v>15.620973655225564</v>
      </c>
      <c r="D30" s="8">
        <f>SUM([3]ffd!$J$434)</f>
        <v>472182768.56099999</v>
      </c>
      <c r="E30" s="7">
        <f t="shared" si="9"/>
        <v>89.153278636247293</v>
      </c>
      <c r="F30" s="8">
        <f t="shared" si="75"/>
        <v>57447521.905000031</v>
      </c>
      <c r="G30" s="7">
        <f t="shared" si="11"/>
        <v>10.846721372249183</v>
      </c>
      <c r="H30" s="8">
        <f>SUM([3]ffd!$N$434)</f>
        <v>529630290.46600002</v>
      </c>
      <c r="I30" s="9">
        <f t="shared" si="12"/>
        <v>100.00000000849647</v>
      </c>
      <c r="J30" s="6">
        <f>SUM([3]ffd!$F$885)</f>
        <v>951236047.6049999</v>
      </c>
      <c r="K30" s="7">
        <f t="shared" si="45"/>
        <v>18.078770165975698</v>
      </c>
      <c r="L30" s="8">
        <f>SUM([3]ffd!$J$885)</f>
        <v>157200999.116</v>
      </c>
      <c r="M30" s="7">
        <f t="shared" si="46"/>
        <v>16.525971604187735</v>
      </c>
      <c r="N30" s="8">
        <f t="shared" si="76"/>
        <v>136442282.69700009</v>
      </c>
      <c r="O30" s="7">
        <f t="shared" si="48"/>
        <v>14.343682941845119</v>
      </c>
      <c r="P30" s="8">
        <f>SUM([3]ffd!$N$885)</f>
        <v>293643281.81300008</v>
      </c>
      <c r="Q30" s="9">
        <f t="shared" si="49"/>
        <v>30.869654546032855</v>
      </c>
      <c r="R30" s="6">
        <f t="shared" si="77"/>
        <v>1480866338.026</v>
      </c>
      <c r="S30" s="7">
        <f t="shared" si="50"/>
        <v>17.115633837669453</v>
      </c>
      <c r="T30" s="6">
        <f t="shared" si="78"/>
        <v>629383767.67700005</v>
      </c>
      <c r="U30" s="7">
        <f t="shared" si="79"/>
        <v>42.501051682758266</v>
      </c>
      <c r="V30" s="8">
        <f t="shared" si="80"/>
        <v>193889804.602</v>
      </c>
      <c r="W30" s="7">
        <f t="shared" si="81"/>
        <v>13.092998309385287</v>
      </c>
      <c r="X30" s="6">
        <f t="shared" si="82"/>
        <v>823273572.27900004</v>
      </c>
      <c r="Y30" s="9">
        <f t="shared" si="83"/>
        <v>55.59404999214356</v>
      </c>
      <c r="Z30" s="6">
        <f>SUM([3]ffd!$F$1628)</f>
        <v>3468596</v>
      </c>
      <c r="AA30" s="7">
        <f t="shared" si="69"/>
        <v>8.8935448807600639E-2</v>
      </c>
      <c r="AB30" s="6">
        <f>SUM([3]ffd!$J$1628)</f>
        <v>1339086.9170000001</v>
      </c>
      <c r="AC30" s="7">
        <f t="shared" si="33"/>
        <v>38.606021485350276</v>
      </c>
      <c r="AD30" s="8">
        <f>SUM(AF30-AB30)</f>
        <v>228550.37099999981</v>
      </c>
      <c r="AE30" s="7">
        <f t="shared" si="34"/>
        <v>6.5891320580430763</v>
      </c>
      <c r="AF30" s="6">
        <f>SUM([3]ffd!$N$1628)</f>
        <v>1567637.2879999999</v>
      </c>
      <c r="AG30" s="9">
        <f t="shared" si="35"/>
        <v>45.195153543393346</v>
      </c>
      <c r="AH30" s="6">
        <f>SUM([3]ffd!$F$1787)</f>
        <v>17657925</v>
      </c>
      <c r="AI30" s="7">
        <f t="shared" si="55"/>
        <v>2.2380863445287109</v>
      </c>
      <c r="AJ30" s="8">
        <f>SUM([3]ffd!$J$1787)</f>
        <v>3089485.165</v>
      </c>
      <c r="AK30" s="7">
        <f t="shared" si="56"/>
        <v>17.496309249246444</v>
      </c>
      <c r="AL30" s="8">
        <f t="shared" si="84"/>
        <v>73108.785999999847</v>
      </c>
      <c r="AM30" s="7">
        <f t="shared" si="58"/>
        <v>0.41402818281309867</v>
      </c>
      <c r="AN30" s="8">
        <f>SUM([3]ffd!$N$1787)</f>
        <v>3162593.9509999999</v>
      </c>
      <c r="AO30" s="9">
        <f t="shared" si="70"/>
        <v>17.910337432059542</v>
      </c>
      <c r="AP30" s="6">
        <f>SUM([3]ffd!$F$1801)</f>
        <v>156306636.75200003</v>
      </c>
      <c r="AQ30" s="7">
        <f t="shared" si="60"/>
        <v>16.749756419258926</v>
      </c>
      <c r="AR30" s="8">
        <f>SUM([3]ffd!$J$1801)</f>
        <v>105492321.59599999</v>
      </c>
      <c r="AS30" s="7">
        <f t="shared" si="61"/>
        <v>67.490622143816395</v>
      </c>
      <c r="AT30" s="8">
        <f t="shared" si="85"/>
        <v>49940605.80400002</v>
      </c>
      <c r="AU30" s="7">
        <f t="shared" si="63"/>
        <v>31.950406484170607</v>
      </c>
      <c r="AV30" s="8">
        <f>SUM([3]ffd!$N$1801)</f>
        <v>155432927.40000001</v>
      </c>
      <c r="AW30" s="9">
        <f t="shared" si="71"/>
        <v>99.441028627987009</v>
      </c>
      <c r="AX30" s="6"/>
      <c r="AY30" s="7">
        <f t="shared" si="65"/>
        <v>0</v>
      </c>
      <c r="AZ30" s="8"/>
      <c r="BA30" s="7">
        <f t="shared" si="72"/>
        <v>0</v>
      </c>
      <c r="BB30" s="8"/>
      <c r="BC30" s="7">
        <f t="shared" si="73"/>
        <v>0</v>
      </c>
      <c r="BD30" s="8"/>
      <c r="BE30" s="9">
        <f t="shared" si="74"/>
        <v>0</v>
      </c>
      <c r="BF30" s="6">
        <f>SUM([3]ffd!$D$432)</f>
        <v>1658299498.0009999</v>
      </c>
      <c r="BG30" s="8">
        <f t="shared" si="86"/>
        <v>1658299495.7780001</v>
      </c>
      <c r="BH30" s="10">
        <f t="shared" si="6"/>
        <v>11.685036718898237</v>
      </c>
      <c r="BI30" s="6">
        <f>SUM([2]bomb!$H$320)</f>
        <v>0</v>
      </c>
      <c r="BJ30" s="8">
        <f t="shared" si="87"/>
        <v>1658299495.7780001</v>
      </c>
      <c r="BK30" s="8">
        <f t="shared" si="88"/>
        <v>739304661.35500002</v>
      </c>
      <c r="BL30" s="7">
        <f t="shared" si="89"/>
        <v>44.582095287205718</v>
      </c>
      <c r="BM30" s="8">
        <f t="shared" si="90"/>
        <v>244132069.56300002</v>
      </c>
      <c r="BN30" s="7">
        <f t="shared" si="91"/>
        <v>14.721832225394493</v>
      </c>
      <c r="BO30" s="11">
        <f t="shared" si="92"/>
        <v>983436730.91799998</v>
      </c>
      <c r="BP30" s="9">
        <f t="shared" si="93"/>
        <v>59.303927512600211</v>
      </c>
    </row>
    <row r="31" spans="1:68" ht="25.5" x14ac:dyDescent="0.2">
      <c r="A31" s="70" t="s">
        <v>47</v>
      </c>
      <c r="B31" s="6">
        <f>SUM([3]fop!$F$434)</f>
        <v>11903829.961999997</v>
      </c>
      <c r="C31" s="7">
        <f t="shared" si="44"/>
        <v>0.35109286155985631</v>
      </c>
      <c r="D31" s="8">
        <f>SUM([3]fop!$J$434)</f>
        <v>10686012.692000002</v>
      </c>
      <c r="E31" s="7">
        <f t="shared" si="9"/>
        <v>89.769534058470484</v>
      </c>
      <c r="F31" s="8">
        <f t="shared" si="75"/>
        <v>1192669.2689999975</v>
      </c>
      <c r="G31" s="7">
        <f t="shared" si="11"/>
        <v>10.019206195042235</v>
      </c>
      <c r="H31" s="8">
        <f>SUM([3]fop!$N$434)</f>
        <v>11878681.960999999</v>
      </c>
      <c r="I31" s="9">
        <f t="shared" si="12"/>
        <v>99.788740253512714</v>
      </c>
      <c r="J31" s="6">
        <f>SUM([3]fop!$F$885)</f>
        <v>20133420.038000003</v>
      </c>
      <c r="K31" s="7">
        <f t="shared" si="45"/>
        <v>0.38264684610984939</v>
      </c>
      <c r="L31" s="8">
        <f>SUM([3]fop!$J$885)</f>
        <v>1544684.8609999998</v>
      </c>
      <c r="M31" s="7">
        <f t="shared" si="46"/>
        <v>7.672242758977597</v>
      </c>
      <c r="N31" s="8">
        <f t="shared" si="76"/>
        <v>4922842.9350000005</v>
      </c>
      <c r="O31" s="7">
        <f t="shared" si="48"/>
        <v>24.451101331560071</v>
      </c>
      <c r="P31" s="8">
        <f>SUM([3]fop!$N$885)</f>
        <v>6467527.7960000001</v>
      </c>
      <c r="Q31" s="9">
        <f t="shared" si="49"/>
        <v>32.123344090537664</v>
      </c>
      <c r="R31" s="6">
        <f t="shared" si="77"/>
        <v>32037250</v>
      </c>
      <c r="S31" s="7">
        <f t="shared" si="50"/>
        <v>0.37028179119582927</v>
      </c>
      <c r="T31" s="6">
        <f t="shared" si="78"/>
        <v>12230697.553000001</v>
      </c>
      <c r="U31" s="7">
        <f t="shared" si="79"/>
        <v>38.176490032696321</v>
      </c>
      <c r="V31" s="8">
        <f t="shared" si="80"/>
        <v>6115512.203999998</v>
      </c>
      <c r="W31" s="7">
        <f t="shared" si="81"/>
        <v>19.088755133477431</v>
      </c>
      <c r="X31" s="6">
        <f t="shared" si="82"/>
        <v>18346209.756999999</v>
      </c>
      <c r="Y31" s="9">
        <f t="shared" si="83"/>
        <v>57.265245166173749</v>
      </c>
      <c r="Z31" s="6"/>
      <c r="AA31" s="7">
        <f t="shared" si="69"/>
        <v>0</v>
      </c>
      <c r="AB31" s="8"/>
      <c r="AC31" s="7">
        <f t="shared" si="33"/>
        <v>0</v>
      </c>
      <c r="AD31" s="8"/>
      <c r="AE31" s="7">
        <f t="shared" si="34"/>
        <v>0</v>
      </c>
      <c r="AF31" s="8"/>
      <c r="AG31" s="9">
        <f t="shared" si="35"/>
        <v>0</v>
      </c>
      <c r="AH31" s="6">
        <f>SUM([3]fop!$F$1787)</f>
        <v>4750</v>
      </c>
      <c r="AI31" s="7">
        <f t="shared" si="55"/>
        <v>6.020475303021945E-4</v>
      </c>
      <c r="AJ31" s="8">
        <f>SUM([3]fop!$J$1787)</f>
        <v>4750</v>
      </c>
      <c r="AK31" s="7">
        <f t="shared" si="56"/>
        <v>100</v>
      </c>
      <c r="AL31" s="8">
        <f t="shared" si="84"/>
        <v>0</v>
      </c>
      <c r="AM31" s="7">
        <f t="shared" si="58"/>
        <v>0</v>
      </c>
      <c r="AN31" s="8">
        <f>SUM([3]fop!$N$1787)</f>
        <v>4750</v>
      </c>
      <c r="AO31" s="9">
        <f t="shared" si="70"/>
        <v>100</v>
      </c>
      <c r="AP31" s="6">
        <f>SUM([3]fop!$F$1801)</f>
        <v>5751563</v>
      </c>
      <c r="AQ31" s="7">
        <f t="shared" si="60"/>
        <v>0.61633518116619213</v>
      </c>
      <c r="AR31" s="8">
        <f>SUM([3]fop!$J$1801)</f>
        <v>4852479.8260000004</v>
      </c>
      <c r="AS31" s="7">
        <f t="shared" si="61"/>
        <v>84.368020066893123</v>
      </c>
      <c r="AT31" s="8">
        <f t="shared" si="85"/>
        <v>715563.89199999906</v>
      </c>
      <c r="AU31" s="7">
        <f t="shared" si="63"/>
        <v>12.441207581313098</v>
      </c>
      <c r="AV31" s="8">
        <f>SUM([3]fop!$N$1801)</f>
        <v>5568043.7179999994</v>
      </c>
      <c r="AW31" s="9">
        <f t="shared" si="71"/>
        <v>96.809227648206218</v>
      </c>
      <c r="AX31" s="6"/>
      <c r="AY31" s="7">
        <f t="shared" si="65"/>
        <v>0</v>
      </c>
      <c r="AZ31" s="8"/>
      <c r="BA31" s="7">
        <f t="shared" si="72"/>
        <v>0</v>
      </c>
      <c r="BB31" s="8"/>
      <c r="BC31" s="7">
        <f t="shared" si="73"/>
        <v>0</v>
      </c>
      <c r="BD31" s="8"/>
      <c r="BE31" s="9">
        <f t="shared" si="74"/>
        <v>0</v>
      </c>
      <c r="BF31" s="6">
        <f>SUM([3]fop!$D$432)</f>
        <v>37793563</v>
      </c>
      <c r="BG31" s="8">
        <f t="shared" si="86"/>
        <v>37793563</v>
      </c>
      <c r="BH31" s="10">
        <f t="shared" si="6"/>
        <v>0.26630845183113672</v>
      </c>
      <c r="BI31" s="6">
        <f>SUM([2]bomb!$H$320)</f>
        <v>0</v>
      </c>
      <c r="BJ31" s="8">
        <f t="shared" si="87"/>
        <v>37793563</v>
      </c>
      <c r="BK31" s="8">
        <f t="shared" si="88"/>
        <v>17087927.379000001</v>
      </c>
      <c r="BL31" s="7">
        <f t="shared" si="89"/>
        <v>45.213856600395154</v>
      </c>
      <c r="BM31" s="8">
        <f t="shared" si="90"/>
        <v>6831076.0959999971</v>
      </c>
      <c r="BN31" s="7">
        <f t="shared" si="91"/>
        <v>18.074707843766934</v>
      </c>
      <c r="BO31" s="11">
        <f t="shared" si="92"/>
        <v>23919003.474999998</v>
      </c>
      <c r="BP31" s="9">
        <f t="shared" si="93"/>
        <v>63.288564444162091</v>
      </c>
    </row>
    <row r="32" spans="1:68" x14ac:dyDescent="0.2">
      <c r="A32" s="70" t="s">
        <v>48</v>
      </c>
      <c r="B32" s="6">
        <f>SUM([3]idu!$F$434)</f>
        <v>287341790.31599998</v>
      </c>
      <c r="C32" s="7">
        <f t="shared" si="44"/>
        <v>8.4748901597067903</v>
      </c>
      <c r="D32" s="8">
        <f>SUM([3]idu!$J$434)</f>
        <v>136746542.53</v>
      </c>
      <c r="E32" s="7">
        <f t="shared" si="9"/>
        <v>47.590203422765256</v>
      </c>
      <c r="F32" s="8">
        <f t="shared" si="75"/>
        <v>150464725.48800001</v>
      </c>
      <c r="G32" s="7">
        <f t="shared" si="11"/>
        <v>52.364372520449805</v>
      </c>
      <c r="H32" s="8">
        <f>SUM([3]idu!$N$434)</f>
        <v>287211268.01800001</v>
      </c>
      <c r="I32" s="9">
        <f t="shared" si="12"/>
        <v>99.954575943215076</v>
      </c>
      <c r="J32" s="6">
        <f>SUM([3]idu!$F$885)</f>
        <v>719185112.53699994</v>
      </c>
      <c r="K32" s="7">
        <f t="shared" si="45"/>
        <v>13.668513077362743</v>
      </c>
      <c r="L32" s="8">
        <f>SUM([3]idu!$J$885)</f>
        <v>2678532.6979999999</v>
      </c>
      <c r="M32" s="7">
        <f t="shared" si="46"/>
        <v>0.37243995340103725</v>
      </c>
      <c r="N32" s="8">
        <f t="shared" si="76"/>
        <v>18630341.254999999</v>
      </c>
      <c r="O32" s="7">
        <f t="shared" si="48"/>
        <v>2.5904792702506789</v>
      </c>
      <c r="P32" s="8">
        <f>SUM([3]idu!$N$885)</f>
        <v>21308873.952999998</v>
      </c>
      <c r="Q32" s="9">
        <f t="shared" si="49"/>
        <v>2.9629192236517157</v>
      </c>
      <c r="R32" s="6">
        <f t="shared" si="77"/>
        <v>1006526902.8529999</v>
      </c>
      <c r="S32" s="7">
        <f t="shared" si="50"/>
        <v>11.633288889502042</v>
      </c>
      <c r="T32" s="6">
        <f t="shared" si="78"/>
        <v>139425075.22800002</v>
      </c>
      <c r="U32" s="7">
        <f t="shared" si="79"/>
        <v>13.852096236354908</v>
      </c>
      <c r="V32" s="8">
        <f t="shared" si="80"/>
        <v>169095066.743</v>
      </c>
      <c r="W32" s="7">
        <f t="shared" si="81"/>
        <v>16.799855648537573</v>
      </c>
      <c r="X32" s="6">
        <f t="shared" si="82"/>
        <v>308520141.97100002</v>
      </c>
      <c r="Y32" s="9">
        <f t="shared" si="83"/>
        <v>30.65195188489248</v>
      </c>
      <c r="Z32" s="6"/>
      <c r="AA32" s="7">
        <f t="shared" si="69"/>
        <v>0</v>
      </c>
      <c r="AB32" s="8"/>
      <c r="AC32" s="7">
        <f t="shared" si="33"/>
        <v>0</v>
      </c>
      <c r="AD32" s="8"/>
      <c r="AE32" s="7">
        <f t="shared" si="34"/>
        <v>0</v>
      </c>
      <c r="AF32" s="8"/>
      <c r="AG32" s="9">
        <f t="shared" si="35"/>
        <v>0</v>
      </c>
      <c r="AH32" s="6">
        <f>SUM([3]idu!$F$1787)</f>
        <v>146143904</v>
      </c>
      <c r="AI32" s="7">
        <f t="shared" si="55"/>
        <v>18.523279257246529</v>
      </c>
      <c r="AJ32" s="8">
        <f>SUM([3]idu!$J$1787)</f>
        <v>37894543.354000002</v>
      </c>
      <c r="AK32" s="7">
        <f t="shared" si="56"/>
        <v>25.929609321234505</v>
      </c>
      <c r="AL32" s="8">
        <f t="shared" si="84"/>
        <v>2397574.9619999975</v>
      </c>
      <c r="AM32" s="7">
        <f t="shared" si="58"/>
        <v>1.6405576259958112</v>
      </c>
      <c r="AN32" s="8">
        <f>SUM([3]idu!$N$1787)</f>
        <v>40292118.316</v>
      </c>
      <c r="AO32" s="9">
        <f t="shared" si="70"/>
        <v>27.570166947230312</v>
      </c>
      <c r="AP32" s="6">
        <f>SUM([3]idu!$F$1801)</f>
        <v>244945226.98299998</v>
      </c>
      <c r="AQ32" s="7">
        <f t="shared" si="60"/>
        <v>26.248232149828027</v>
      </c>
      <c r="AR32" s="8">
        <f>SUM([3]idu!$J$1801)</f>
        <v>100766211.73</v>
      </c>
      <c r="AS32" s="7">
        <f t="shared" si="61"/>
        <v>41.138263019509061</v>
      </c>
      <c r="AT32" s="8">
        <f t="shared" si="85"/>
        <v>119474522.62500001</v>
      </c>
      <c r="AU32" s="7">
        <f t="shared" si="63"/>
        <v>48.776015804256495</v>
      </c>
      <c r="AV32" s="8">
        <f>SUM([3]idu!$N$1801)</f>
        <v>220240734.35500002</v>
      </c>
      <c r="AW32" s="9">
        <f t="shared" si="71"/>
        <v>89.914278823765542</v>
      </c>
      <c r="AX32" s="6"/>
      <c r="AY32" s="7">
        <f t="shared" si="65"/>
        <v>0</v>
      </c>
      <c r="AZ32" s="8"/>
      <c r="BA32" s="7">
        <f t="shared" si="72"/>
        <v>0</v>
      </c>
      <c r="BB32" s="8"/>
      <c r="BC32" s="7">
        <f t="shared" si="73"/>
        <v>0</v>
      </c>
      <c r="BD32" s="8"/>
      <c r="BE32" s="9">
        <f t="shared" si="74"/>
        <v>0</v>
      </c>
      <c r="BF32" s="6">
        <f>SUM([3]idu!$D$432)</f>
        <v>1397616034</v>
      </c>
      <c r="BG32" s="8">
        <f t="shared" si="86"/>
        <v>1397616033.836</v>
      </c>
      <c r="BH32" s="10">
        <f t="shared" si="6"/>
        <v>9.8481575347960373</v>
      </c>
      <c r="BI32" s="6">
        <f>SUM([2]bomb!$H$320)</f>
        <v>0</v>
      </c>
      <c r="BJ32" s="8">
        <f t="shared" si="87"/>
        <v>1397616033.836</v>
      </c>
      <c r="BK32" s="8">
        <f t="shared" si="88"/>
        <v>278085830.31200004</v>
      </c>
      <c r="BL32" s="7">
        <f t="shared" si="89"/>
        <v>19.897155125556566</v>
      </c>
      <c r="BM32" s="8">
        <f t="shared" si="90"/>
        <v>290967164.32999998</v>
      </c>
      <c r="BN32" s="7">
        <f t="shared" si="91"/>
        <v>20.81881985364679</v>
      </c>
      <c r="BO32" s="11">
        <f t="shared" si="92"/>
        <v>569052994.64199996</v>
      </c>
      <c r="BP32" s="9">
        <f t="shared" si="93"/>
        <v>40.715974979203352</v>
      </c>
    </row>
    <row r="33" spans="1:68" ht="25.5" x14ac:dyDescent="0.2">
      <c r="A33" s="70" t="s">
        <v>49</v>
      </c>
      <c r="B33" s="6">
        <f>SUM([3]fce!$F$434)</f>
        <v>756146.07699999958</v>
      </c>
      <c r="C33" s="7">
        <f t="shared" si="44"/>
        <v>2.2301855014617972E-2</v>
      </c>
      <c r="D33" s="8">
        <f>SUM([3]fce!$J$434)</f>
        <v>229404.28599999999</v>
      </c>
      <c r="E33" s="7">
        <f t="shared" si="9"/>
        <v>30.338620139399353</v>
      </c>
      <c r="F33" s="8">
        <f t="shared" si="75"/>
        <v>526741.79100000008</v>
      </c>
      <c r="G33" s="7">
        <f t="shared" si="11"/>
        <v>69.661379860600718</v>
      </c>
      <c r="H33" s="8">
        <f>SUM([3]fce!$N$434)</f>
        <v>756146.07700000005</v>
      </c>
      <c r="I33" s="9">
        <f t="shared" si="12"/>
        <v>100.00000000000007</v>
      </c>
      <c r="J33" s="6">
        <f>SUM([3]fce!$F$885)</f>
        <v>4242563.0329999998</v>
      </c>
      <c r="K33" s="7">
        <f t="shared" si="45"/>
        <v>8.0632270172462522E-2</v>
      </c>
      <c r="L33" s="8">
        <f>SUM([3]fce!$J$885)</f>
        <v>0</v>
      </c>
      <c r="M33" s="7">
        <f t="shared" si="46"/>
        <v>0</v>
      </c>
      <c r="N33" s="8">
        <f t="shared" si="76"/>
        <v>29468.400000000001</v>
      </c>
      <c r="O33" s="7">
        <f t="shared" si="48"/>
        <v>0.69458956227133095</v>
      </c>
      <c r="P33" s="8">
        <f>SUM([3]fce!$N$885)</f>
        <v>29468.400000000001</v>
      </c>
      <c r="Q33" s="9">
        <f t="shared" si="49"/>
        <v>0.69458956227133095</v>
      </c>
      <c r="R33" s="6">
        <f t="shared" si="77"/>
        <v>4998709.1099999994</v>
      </c>
      <c r="S33" s="7">
        <f t="shared" si="50"/>
        <v>5.7774339648930834E-2</v>
      </c>
      <c r="T33" s="6">
        <f t="shared" si="78"/>
        <v>229404.28599999999</v>
      </c>
      <c r="U33" s="7">
        <f t="shared" si="79"/>
        <v>4.589270568696886</v>
      </c>
      <c r="V33" s="8">
        <f t="shared" si="80"/>
        <v>556210.19100000011</v>
      </c>
      <c r="W33" s="7">
        <f t="shared" si="81"/>
        <v>11.127076586378921</v>
      </c>
      <c r="X33" s="6">
        <f t="shared" si="82"/>
        <v>785614.47700000007</v>
      </c>
      <c r="Y33" s="9">
        <f t="shared" si="83"/>
        <v>15.716347155075807</v>
      </c>
      <c r="Z33" s="6"/>
      <c r="AA33" s="7">
        <f t="shared" si="69"/>
        <v>0</v>
      </c>
      <c r="AB33" s="8"/>
      <c r="AC33" s="7">
        <f t="shared" si="33"/>
        <v>0</v>
      </c>
      <c r="AD33" s="8"/>
      <c r="AE33" s="7">
        <f t="shared" si="34"/>
        <v>0</v>
      </c>
      <c r="AF33" s="8"/>
      <c r="AG33" s="9">
        <f t="shared" si="35"/>
        <v>0</v>
      </c>
      <c r="AH33" s="6">
        <f>SUM([3]fce!$F$1787)</f>
        <v>0</v>
      </c>
      <c r="AI33" s="7">
        <f t="shared" si="55"/>
        <v>0</v>
      </c>
      <c r="AJ33" s="8">
        <f>SUM([3]fce!$J$1787)</f>
        <v>0</v>
      </c>
      <c r="AK33" s="7">
        <f t="shared" si="56"/>
        <v>0</v>
      </c>
      <c r="AL33" s="8">
        <f t="shared" si="84"/>
        <v>0</v>
      </c>
      <c r="AM33" s="7">
        <f t="shared" si="58"/>
        <v>0</v>
      </c>
      <c r="AN33" s="8">
        <f>SUM([3]fce!$N$1787)</f>
        <v>0</v>
      </c>
      <c r="AO33" s="9">
        <f t="shared" si="70"/>
        <v>0</v>
      </c>
      <c r="AP33" s="6">
        <f>SUM([3]fce!$F$1801)</f>
        <v>436518.62800000003</v>
      </c>
      <c r="AQ33" s="7">
        <f t="shared" si="60"/>
        <v>4.6777160864063846E-2</v>
      </c>
      <c r="AR33" s="8">
        <f>SUM([3]fce!$J$1801)</f>
        <v>413063.67199999996</v>
      </c>
      <c r="AS33" s="7">
        <f t="shared" si="61"/>
        <v>94.6268144139773</v>
      </c>
      <c r="AT33" s="8">
        <f t="shared" si="85"/>
        <v>17236.543000000063</v>
      </c>
      <c r="AU33" s="7">
        <f t="shared" si="63"/>
        <v>3.9486385905162478</v>
      </c>
      <c r="AV33" s="8">
        <f>SUM([3]fce!$N$1801)</f>
        <v>430300.21500000003</v>
      </c>
      <c r="AW33" s="9">
        <f t="shared" si="71"/>
        <v>98.575453004493539</v>
      </c>
      <c r="AX33" s="6"/>
      <c r="AY33" s="7">
        <f t="shared" si="65"/>
        <v>0</v>
      </c>
      <c r="AZ33" s="8"/>
      <c r="BA33" s="7">
        <f t="shared" si="72"/>
        <v>0</v>
      </c>
      <c r="BB33" s="8"/>
      <c r="BC33" s="7">
        <f t="shared" si="73"/>
        <v>0</v>
      </c>
      <c r="BD33" s="8"/>
      <c r="BE33" s="9">
        <f t="shared" si="74"/>
        <v>0</v>
      </c>
      <c r="BF33" s="6">
        <f>SUM([3]fce!$D$432)</f>
        <v>5711670</v>
      </c>
      <c r="BG33" s="8">
        <f t="shared" si="86"/>
        <v>5435227.7379999999</v>
      </c>
      <c r="BH33" s="10">
        <f t="shared" si="6"/>
        <v>3.8298772842783602E-2</v>
      </c>
      <c r="BI33" s="6">
        <f>SUM([2]bomb!$H$320)</f>
        <v>0</v>
      </c>
      <c r="BJ33" s="8">
        <f t="shared" si="87"/>
        <v>5435227.7379999999</v>
      </c>
      <c r="BK33" s="8">
        <f t="shared" si="88"/>
        <v>642467.95799999998</v>
      </c>
      <c r="BL33" s="7">
        <f t="shared" si="89"/>
        <v>11.820442288153483</v>
      </c>
      <c r="BM33" s="8">
        <f t="shared" si="90"/>
        <v>573446.73400000017</v>
      </c>
      <c r="BN33" s="7">
        <f t="shared" si="91"/>
        <v>10.550555775074317</v>
      </c>
      <c r="BO33" s="11">
        <f t="shared" si="92"/>
        <v>1215914.6920000003</v>
      </c>
      <c r="BP33" s="9">
        <f t="shared" si="93"/>
        <v>22.370998063227802</v>
      </c>
    </row>
    <row r="34" spans="1:68" x14ac:dyDescent="0.2">
      <c r="A34" s="70" t="s">
        <v>50</v>
      </c>
      <c r="B34" s="6">
        <f>SUM([3]cvp!$F$434)</f>
        <v>6096173.7199999914</v>
      </c>
      <c r="C34" s="7">
        <f t="shared" si="44"/>
        <v>0.17980121379028746</v>
      </c>
      <c r="D34" s="8">
        <f>SUM([3]cvp!$J$434)</f>
        <v>5109594.5249999994</v>
      </c>
      <c r="E34" s="7">
        <f t="shared" si="9"/>
        <v>83.816419276844471</v>
      </c>
      <c r="F34" s="8">
        <f t="shared" si="75"/>
        <v>971729.19400000107</v>
      </c>
      <c r="G34" s="7">
        <f t="shared" si="11"/>
        <v>15.939985286377345</v>
      </c>
      <c r="H34" s="8">
        <f>SUM([3]cvp!$N$434)</f>
        <v>6081323.7190000005</v>
      </c>
      <c r="I34" s="9">
        <f t="shared" si="12"/>
        <v>99.756404563221807</v>
      </c>
      <c r="J34" s="6">
        <f>SUM([3]cvp!$F$885)</f>
        <v>38370390.369999997</v>
      </c>
      <c r="K34" s="7">
        <f t="shared" si="45"/>
        <v>0.72925061074435993</v>
      </c>
      <c r="L34" s="8">
        <f>SUM([3]cvp!$J$885)</f>
        <v>1912261.1710000001</v>
      </c>
      <c r="M34" s="7">
        <f t="shared" si="46"/>
        <v>4.9836896433952029</v>
      </c>
      <c r="N34" s="8">
        <f t="shared" si="76"/>
        <v>3683634.6510000005</v>
      </c>
      <c r="O34" s="7">
        <f t="shared" si="48"/>
        <v>9.6002011329028889</v>
      </c>
      <c r="P34" s="8">
        <f>SUM([3]cvp!$N$885)</f>
        <v>5595895.8220000006</v>
      </c>
      <c r="Q34" s="9">
        <f t="shared" si="49"/>
        <v>14.583890776298091</v>
      </c>
      <c r="R34" s="6">
        <f t="shared" si="77"/>
        <v>44466564.089999989</v>
      </c>
      <c r="S34" s="7">
        <f t="shared" si="50"/>
        <v>0.5139379628266888</v>
      </c>
      <c r="T34" s="6">
        <f t="shared" si="78"/>
        <v>7021855.6959999995</v>
      </c>
      <c r="U34" s="7">
        <f t="shared" si="79"/>
        <v>15.791316103910832</v>
      </c>
      <c r="V34" s="8">
        <f t="shared" si="80"/>
        <v>4655363.8450000016</v>
      </c>
      <c r="W34" s="7">
        <f t="shared" si="81"/>
        <v>10.469358135199249</v>
      </c>
      <c r="X34" s="6">
        <f t="shared" si="82"/>
        <v>11677219.541000001</v>
      </c>
      <c r="Y34" s="9">
        <f t="shared" si="83"/>
        <v>26.260674239110081</v>
      </c>
      <c r="Z34" s="6"/>
      <c r="AA34" s="7">
        <f t="shared" si="69"/>
        <v>0</v>
      </c>
      <c r="AB34" s="8"/>
      <c r="AC34" s="7">
        <f t="shared" si="33"/>
        <v>0</v>
      </c>
      <c r="AD34" s="8"/>
      <c r="AE34" s="7">
        <f t="shared" si="34"/>
        <v>0</v>
      </c>
      <c r="AF34" s="8"/>
      <c r="AG34" s="9">
        <f t="shared" si="35"/>
        <v>0</v>
      </c>
      <c r="AH34" s="6">
        <f>SUM([3]cvp!$F$1787)</f>
        <v>1439586</v>
      </c>
      <c r="AI34" s="7">
        <f t="shared" si="55"/>
        <v>0.18246298862265578</v>
      </c>
      <c r="AJ34" s="8">
        <f>SUM([3]cvp!$J$1787)</f>
        <v>263663.69300000003</v>
      </c>
      <c r="AK34" s="7">
        <f t="shared" si="56"/>
        <v>18.315244313295629</v>
      </c>
      <c r="AL34" s="8">
        <f t="shared" si="84"/>
        <v>52150.307999999961</v>
      </c>
      <c r="AM34" s="7">
        <f t="shared" si="58"/>
        <v>3.6225906614818402</v>
      </c>
      <c r="AN34" s="8">
        <f>SUM([3]cvp!$N$1787)</f>
        <v>315814.00099999999</v>
      </c>
      <c r="AO34" s="9">
        <f t="shared" si="70"/>
        <v>21.93783497477747</v>
      </c>
      <c r="AP34" s="6">
        <f>SUM([3]cvp!$F$1801)</f>
        <v>6179144.8780000014</v>
      </c>
      <c r="AQ34" s="7">
        <f t="shared" si="60"/>
        <v>0.66215468348938877</v>
      </c>
      <c r="AR34" s="8">
        <f>SUM([3]cvp!$J$1801)</f>
        <v>3407443.2319999998</v>
      </c>
      <c r="AS34" s="7">
        <f t="shared" si="61"/>
        <v>55.144252146146222</v>
      </c>
      <c r="AT34" s="8">
        <f t="shared" si="85"/>
        <v>2724906.3280000007</v>
      </c>
      <c r="AU34" s="7">
        <f t="shared" si="63"/>
        <v>44.098437272472054</v>
      </c>
      <c r="AV34" s="8">
        <f>SUM([3]cvp!$N$1801)</f>
        <v>6132349.5600000005</v>
      </c>
      <c r="AW34" s="9">
        <f t="shared" si="71"/>
        <v>99.242689418618284</v>
      </c>
      <c r="AX34" s="6"/>
      <c r="AY34" s="7">
        <f t="shared" si="65"/>
        <v>0</v>
      </c>
      <c r="AZ34" s="8"/>
      <c r="BA34" s="7">
        <f t="shared" si="72"/>
        <v>0</v>
      </c>
      <c r="BB34" s="8"/>
      <c r="BC34" s="7">
        <f t="shared" si="73"/>
        <v>0</v>
      </c>
      <c r="BD34" s="8"/>
      <c r="BE34" s="9">
        <f t="shared" si="74"/>
        <v>0</v>
      </c>
      <c r="BF34" s="6">
        <f>SUM([3]cvp!$D$432)</f>
        <v>52091269.899999999</v>
      </c>
      <c r="BG34" s="8">
        <f t="shared" si="86"/>
        <v>52085294.967999987</v>
      </c>
      <c r="BH34" s="10">
        <f t="shared" si="6"/>
        <v>0.36701367018759706</v>
      </c>
      <c r="BI34" s="6">
        <f>SUM([2]bomb!$H$320)</f>
        <v>0</v>
      </c>
      <c r="BJ34" s="8">
        <f t="shared" si="87"/>
        <v>52085294.967999987</v>
      </c>
      <c r="BK34" s="8">
        <f t="shared" si="88"/>
        <v>10692962.620999999</v>
      </c>
      <c r="BL34" s="7">
        <f t="shared" si="89"/>
        <v>20.529715013747182</v>
      </c>
      <c r="BM34" s="8">
        <f t="shared" si="90"/>
        <v>7432420.4810000025</v>
      </c>
      <c r="BN34" s="7">
        <f t="shared" si="91"/>
        <v>14.269709877934474</v>
      </c>
      <c r="BO34" s="11">
        <f t="shared" si="92"/>
        <v>18125383.102000002</v>
      </c>
      <c r="BP34" s="9">
        <f t="shared" si="93"/>
        <v>34.79942489168166</v>
      </c>
    </row>
    <row r="35" spans="1:68" x14ac:dyDescent="0.2">
      <c r="A35" s="71" t="s">
        <v>51</v>
      </c>
      <c r="B35" s="6">
        <f>SUM([3]idr!$F$434)</f>
        <v>39710826.059000015</v>
      </c>
      <c r="C35" s="7">
        <f t="shared" si="44"/>
        <v>1.1712354427496845</v>
      </c>
      <c r="D35" s="8">
        <f>SUM([3]idr!$J$434)</f>
        <v>25443754.170000002</v>
      </c>
      <c r="E35" s="7">
        <f t="shared" si="9"/>
        <v>64.07258849815203</v>
      </c>
      <c r="F35" s="8">
        <f t="shared" si="75"/>
        <v>14124123.990999997</v>
      </c>
      <c r="G35" s="7">
        <f t="shared" si="11"/>
        <v>35.567439393013892</v>
      </c>
      <c r="H35" s="8">
        <f>SUM([3]idr!$N$434)</f>
        <v>39567878.160999998</v>
      </c>
      <c r="I35" s="9">
        <f t="shared" si="12"/>
        <v>99.640027891165914</v>
      </c>
      <c r="J35" s="6">
        <f>SUM([3]idr!$F$885)</f>
        <v>79089324.863999993</v>
      </c>
      <c r="K35" s="7">
        <f t="shared" si="45"/>
        <v>1.5031366088348475</v>
      </c>
      <c r="L35" s="8">
        <f>SUM([3]idr!$J$885)</f>
        <v>4465309.1770000001</v>
      </c>
      <c r="M35" s="7">
        <f t="shared" si="46"/>
        <v>5.6459063023719489</v>
      </c>
      <c r="N35" s="8">
        <f t="shared" si="76"/>
        <v>15912251.611000001</v>
      </c>
      <c r="O35" s="7">
        <f t="shared" si="48"/>
        <v>20.119341818080137</v>
      </c>
      <c r="P35" s="8">
        <f>SUM([3]idr!$N$885)</f>
        <v>20377560.788000003</v>
      </c>
      <c r="Q35" s="9">
        <f t="shared" si="49"/>
        <v>25.765248120452082</v>
      </c>
      <c r="R35" s="6">
        <f t="shared" si="77"/>
        <v>118800150.92300001</v>
      </c>
      <c r="S35" s="7">
        <f t="shared" si="50"/>
        <v>1.3730745515955112</v>
      </c>
      <c r="T35" s="6">
        <f t="shared" si="78"/>
        <v>29909063.347000003</v>
      </c>
      <c r="U35" s="7">
        <f t="shared" si="79"/>
        <v>25.175947264903293</v>
      </c>
      <c r="V35" s="8">
        <f t="shared" si="80"/>
        <v>30036375.601999998</v>
      </c>
      <c r="W35" s="7">
        <f t="shared" si="81"/>
        <v>25.283112326572709</v>
      </c>
      <c r="X35" s="6">
        <f t="shared" si="82"/>
        <v>59945438.949000001</v>
      </c>
      <c r="Y35" s="9">
        <f t="shared" si="83"/>
        <v>50.459059591475999</v>
      </c>
      <c r="Z35" s="6"/>
      <c r="AA35" s="7">
        <f t="shared" si="69"/>
        <v>0</v>
      </c>
      <c r="AB35" s="8"/>
      <c r="AC35" s="7">
        <f t="shared" si="33"/>
        <v>0</v>
      </c>
      <c r="AD35" s="8"/>
      <c r="AE35" s="7">
        <f t="shared" si="34"/>
        <v>0</v>
      </c>
      <c r="AF35" s="8"/>
      <c r="AG35" s="9">
        <f t="shared" si="35"/>
        <v>0</v>
      </c>
      <c r="AH35" s="6">
        <f>SUM([3]idr!$F$1787)</f>
        <v>6593130</v>
      </c>
      <c r="AI35" s="7">
        <f t="shared" si="55"/>
        <v>0.83565844914974907</v>
      </c>
      <c r="AJ35" s="8">
        <f>SUM([3]idr!$J$1787)</f>
        <v>1030649.531</v>
      </c>
      <c r="AK35" s="7">
        <f t="shared" si="56"/>
        <v>15.632173656518223</v>
      </c>
      <c r="AL35" s="8">
        <f t="shared" si="84"/>
        <v>1.0000000474974513E-3</v>
      </c>
      <c r="AM35" s="7">
        <f t="shared" si="58"/>
        <v>1.5167303655433023E-8</v>
      </c>
      <c r="AN35" s="8">
        <f>SUM([3]idr!$N$1787)</f>
        <v>1030649.532</v>
      </c>
      <c r="AO35" s="9">
        <f t="shared" si="70"/>
        <v>15.632173671685528</v>
      </c>
      <c r="AP35" s="6">
        <f>SUM([3]idr!$F$1801)</f>
        <v>19266294.026999999</v>
      </c>
      <c r="AQ35" s="7">
        <f t="shared" si="60"/>
        <v>2.0645683303012015</v>
      </c>
      <c r="AR35" s="8">
        <f>SUM([3]idr!$J$1801)</f>
        <v>14928494.808</v>
      </c>
      <c r="AS35" s="7">
        <f t="shared" si="61"/>
        <v>77.485035716152993</v>
      </c>
      <c r="AT35" s="8">
        <f t="shared" si="85"/>
        <v>4239765.5889999997</v>
      </c>
      <c r="AU35" s="7">
        <f t="shared" si="63"/>
        <v>22.00612937318586</v>
      </c>
      <c r="AV35" s="8">
        <f>SUM([3]idr!$N$1801)</f>
        <v>19168260.397</v>
      </c>
      <c r="AW35" s="9">
        <f t="shared" si="71"/>
        <v>99.49116508933885</v>
      </c>
      <c r="AX35" s="6"/>
      <c r="AY35" s="7">
        <f t="shared" si="65"/>
        <v>0</v>
      </c>
      <c r="AZ35" s="8"/>
      <c r="BA35" s="7">
        <f t="shared" si="72"/>
        <v>0</v>
      </c>
      <c r="BB35" s="8"/>
      <c r="BC35" s="7">
        <f t="shared" si="73"/>
        <v>0</v>
      </c>
      <c r="BD35" s="8"/>
      <c r="BE35" s="9">
        <f t="shared" si="74"/>
        <v>0</v>
      </c>
      <c r="BF35" s="6">
        <f>SUM([3]idr!$D$432)</f>
        <v>144659577</v>
      </c>
      <c r="BG35" s="8">
        <f t="shared" si="86"/>
        <v>144659574.95000002</v>
      </c>
      <c r="BH35" s="10">
        <f t="shared" si="6"/>
        <v>1.0193288060055303</v>
      </c>
      <c r="BI35" s="6">
        <f>SUM([2]bomb!$H$320)</f>
        <v>0</v>
      </c>
      <c r="BJ35" s="8">
        <f t="shared" si="87"/>
        <v>144659574.95000002</v>
      </c>
      <c r="BK35" s="8">
        <f t="shared" si="88"/>
        <v>45868207.686000004</v>
      </c>
      <c r="BL35" s="7">
        <f t="shared" si="89"/>
        <v>31.707688690398712</v>
      </c>
      <c r="BM35" s="8">
        <f t="shared" si="90"/>
        <v>34276141.191999994</v>
      </c>
      <c r="BN35" s="7">
        <f t="shared" si="91"/>
        <v>23.694346678294309</v>
      </c>
      <c r="BO35" s="11">
        <f t="shared" si="92"/>
        <v>80144348.877999991</v>
      </c>
      <c r="BP35" s="9">
        <f t="shared" si="93"/>
        <v>55.402035368693014</v>
      </c>
    </row>
    <row r="36" spans="1:68" x14ac:dyDescent="0.2">
      <c r="A36" s="70" t="s">
        <v>52</v>
      </c>
      <c r="B36" s="6">
        <f>SUM([3]idt!$F$434)</f>
        <v>3795209.5199999996</v>
      </c>
      <c r="C36" s="7">
        <f t="shared" si="44"/>
        <v>0.11193632426282879</v>
      </c>
      <c r="D36" s="8">
        <f>SUM([3]idt!$J$434)</f>
        <v>2432189.1720000003</v>
      </c>
      <c r="E36" s="7">
        <f t="shared" si="9"/>
        <v>64.085768102731805</v>
      </c>
      <c r="F36" s="8">
        <f t="shared" si="75"/>
        <v>1350373.6809999999</v>
      </c>
      <c r="G36" s="7">
        <f t="shared" si="11"/>
        <v>35.581004787319358</v>
      </c>
      <c r="H36" s="8">
        <f>SUM([3]idt!$N$434)</f>
        <v>3782562.8530000001</v>
      </c>
      <c r="I36" s="9">
        <f t="shared" si="12"/>
        <v>99.666772890051163</v>
      </c>
      <c r="J36" s="6">
        <f>SUM([3]idt!$F$885)</f>
        <v>6208978.6600000001</v>
      </c>
      <c r="K36" s="7">
        <f t="shared" si="45"/>
        <v>0.11800509289172753</v>
      </c>
      <c r="L36" s="8">
        <f>SUM([3]idt!$J$885)</f>
        <v>122964.476</v>
      </c>
      <c r="M36" s="7">
        <f t="shared" si="46"/>
        <v>1.980429998772133</v>
      </c>
      <c r="N36" s="8">
        <f t="shared" si="76"/>
        <v>2622927.8830000004</v>
      </c>
      <c r="O36" s="7">
        <f t="shared" si="48"/>
        <v>42.244111739304969</v>
      </c>
      <c r="P36" s="8">
        <f>SUM([3]idt!$N$885)</f>
        <v>2745892.3590000002</v>
      </c>
      <c r="Q36" s="9">
        <f t="shared" si="49"/>
        <v>44.2245417380771</v>
      </c>
      <c r="R36" s="6">
        <f t="shared" si="77"/>
        <v>10004188.18</v>
      </c>
      <c r="S36" s="7">
        <f t="shared" si="50"/>
        <v>0.11562692549299779</v>
      </c>
      <c r="T36" s="6">
        <f t="shared" si="78"/>
        <v>2555153.648</v>
      </c>
      <c r="U36" s="7">
        <f t="shared" si="79"/>
        <v>25.540839516675305</v>
      </c>
      <c r="V36" s="8">
        <f t="shared" si="80"/>
        <v>3973301.5640000002</v>
      </c>
      <c r="W36" s="7">
        <f t="shared" si="81"/>
        <v>39.716381704447315</v>
      </c>
      <c r="X36" s="6">
        <f t="shared" si="82"/>
        <v>6528455.2120000003</v>
      </c>
      <c r="Y36" s="9">
        <f t="shared" si="83"/>
        <v>65.25722122112262</v>
      </c>
      <c r="Z36" s="6"/>
      <c r="AA36" s="7">
        <f t="shared" si="69"/>
        <v>0</v>
      </c>
      <c r="AB36" s="8"/>
      <c r="AC36" s="7">
        <f t="shared" si="33"/>
        <v>0</v>
      </c>
      <c r="AD36" s="8"/>
      <c r="AE36" s="7">
        <f t="shared" si="34"/>
        <v>0</v>
      </c>
      <c r="AF36" s="8"/>
      <c r="AG36" s="9">
        <f t="shared" si="35"/>
        <v>0</v>
      </c>
      <c r="AH36" s="6">
        <f>SUM([3]idt!$F$1787)</f>
        <v>0</v>
      </c>
      <c r="AI36" s="7">
        <f t="shared" si="55"/>
        <v>0</v>
      </c>
      <c r="AJ36" s="8">
        <f>SUM([3]idt!$J$1787)</f>
        <v>0</v>
      </c>
      <c r="AK36" s="7">
        <f t="shared" si="56"/>
        <v>0</v>
      </c>
      <c r="AL36" s="8">
        <f t="shared" si="84"/>
        <v>0</v>
      </c>
      <c r="AM36" s="7">
        <f t="shared" si="58"/>
        <v>0</v>
      </c>
      <c r="AN36" s="8">
        <f>SUM([3]idt!$N$1787)</f>
        <v>0</v>
      </c>
      <c r="AO36" s="9">
        <f t="shared" si="70"/>
        <v>0</v>
      </c>
      <c r="AP36" s="6">
        <f>SUM([3]idt!$F$1801)</f>
        <v>2119121.523</v>
      </c>
      <c r="AQ36" s="7">
        <f t="shared" si="60"/>
        <v>0.22708421133375087</v>
      </c>
      <c r="AR36" s="8">
        <f>SUM([3]idt!$J$1801)</f>
        <v>1641189.0969999998</v>
      </c>
      <c r="AS36" s="7">
        <f t="shared" si="61"/>
        <v>77.446672084977905</v>
      </c>
      <c r="AT36" s="8">
        <f t="shared" si="85"/>
        <v>460845.11199999996</v>
      </c>
      <c r="AU36" s="7">
        <f t="shared" si="63"/>
        <v>21.746988409970484</v>
      </c>
      <c r="AV36" s="8">
        <f>SUM([3]idt!$N$1801)</f>
        <v>2102034.2089999998</v>
      </c>
      <c r="AW36" s="9">
        <f t="shared" si="71"/>
        <v>99.193660494948404</v>
      </c>
      <c r="AX36" s="6"/>
      <c r="AY36" s="7">
        <f t="shared" si="65"/>
        <v>0</v>
      </c>
      <c r="AZ36" s="8"/>
      <c r="BA36" s="7">
        <f t="shared" si="72"/>
        <v>0</v>
      </c>
      <c r="BB36" s="8"/>
      <c r="BC36" s="7">
        <f t="shared" si="73"/>
        <v>0</v>
      </c>
      <c r="BD36" s="8"/>
      <c r="BE36" s="9">
        <f t="shared" si="74"/>
        <v>0</v>
      </c>
      <c r="BF36" s="6">
        <f>SUM([3]idt!$D$432)</f>
        <v>12368497</v>
      </c>
      <c r="BG36" s="8">
        <f t="shared" si="86"/>
        <v>12123309.703</v>
      </c>
      <c r="BH36" s="10">
        <f t="shared" si="6"/>
        <v>8.5425654047895067E-2</v>
      </c>
      <c r="BI36" s="6">
        <f>SUM([2]bomb!$H$320)</f>
        <v>0</v>
      </c>
      <c r="BJ36" s="8">
        <f t="shared" si="87"/>
        <v>12123309.703</v>
      </c>
      <c r="BK36" s="8">
        <f t="shared" si="88"/>
        <v>4196342.7450000001</v>
      </c>
      <c r="BL36" s="7">
        <f t="shared" si="89"/>
        <v>34.61383770441487</v>
      </c>
      <c r="BM36" s="8">
        <f t="shared" si="90"/>
        <v>4434146.676</v>
      </c>
      <c r="BN36" s="7">
        <f t="shared" si="91"/>
        <v>36.575380689175482</v>
      </c>
      <c r="BO36" s="11">
        <f t="shared" si="92"/>
        <v>8630489.4210000001</v>
      </c>
      <c r="BP36" s="9">
        <f t="shared" si="93"/>
        <v>71.189218393590352</v>
      </c>
    </row>
    <row r="37" spans="1:68" x14ac:dyDescent="0.2">
      <c r="A37" s="70" t="s">
        <v>53</v>
      </c>
      <c r="B37" s="6">
        <f>SUM([3]idp!$F$434)</f>
        <v>3484514.7110000011</v>
      </c>
      <c r="C37" s="7">
        <f t="shared" si="44"/>
        <v>0.10277265761841083</v>
      </c>
      <c r="D37" s="8">
        <f>SUM([3]idp!$J$434)</f>
        <v>1874349.547</v>
      </c>
      <c r="E37" s="7">
        <f t="shared" si="9"/>
        <v>53.790834662944818</v>
      </c>
      <c r="F37" s="8">
        <f t="shared" si="75"/>
        <v>1610165.1640000001</v>
      </c>
      <c r="G37" s="7">
        <f t="shared" si="11"/>
        <v>46.209165337055154</v>
      </c>
      <c r="H37" s="8">
        <f>SUM([3]idp!$N$434)</f>
        <v>3484514.7110000001</v>
      </c>
      <c r="I37" s="9">
        <f t="shared" si="12"/>
        <v>99.999999999999972</v>
      </c>
      <c r="J37" s="6">
        <f>SUM([3]idp!$F$885)</f>
        <v>7436485.2889999989</v>
      </c>
      <c r="K37" s="7">
        <f t="shared" si="45"/>
        <v>0.14133453911990254</v>
      </c>
      <c r="L37" s="8">
        <f>SUM([3]idp!$J$885)</f>
        <v>711992.35899999994</v>
      </c>
      <c r="M37" s="7">
        <f t="shared" si="46"/>
        <v>9.5743127476252052</v>
      </c>
      <c r="N37" s="8">
        <f t="shared" si="76"/>
        <v>1830599.5960000001</v>
      </c>
      <c r="O37" s="7">
        <f t="shared" si="48"/>
        <v>24.616462278326715</v>
      </c>
      <c r="P37" s="8">
        <f>SUM([3]idp!$N$885)</f>
        <v>2542591.9550000001</v>
      </c>
      <c r="Q37" s="9">
        <f t="shared" si="49"/>
        <v>34.190775025951922</v>
      </c>
      <c r="R37" s="6">
        <f t="shared" si="77"/>
        <v>10921000</v>
      </c>
      <c r="S37" s="7">
        <f t="shared" si="50"/>
        <v>0.12622330074053334</v>
      </c>
      <c r="T37" s="6">
        <f t="shared" si="78"/>
        <v>2586341.906</v>
      </c>
      <c r="U37" s="7">
        <f t="shared" si="79"/>
        <v>23.682280981595092</v>
      </c>
      <c r="V37" s="8">
        <f t="shared" si="80"/>
        <v>3440764.7600000002</v>
      </c>
      <c r="W37" s="7">
        <f t="shared" si="81"/>
        <v>31.505949638311513</v>
      </c>
      <c r="X37" s="6">
        <f t="shared" si="82"/>
        <v>6027106.6660000002</v>
      </c>
      <c r="Y37" s="9">
        <f t="shared" si="83"/>
        <v>55.188230619906605</v>
      </c>
      <c r="Z37" s="6"/>
      <c r="AA37" s="7">
        <f t="shared" si="69"/>
        <v>0</v>
      </c>
      <c r="AB37" s="8"/>
      <c r="AC37" s="7">
        <f t="shared" si="33"/>
        <v>0</v>
      </c>
      <c r="AD37" s="8"/>
      <c r="AE37" s="7">
        <f t="shared" si="34"/>
        <v>0</v>
      </c>
      <c r="AF37" s="8"/>
      <c r="AG37" s="9">
        <f t="shared" si="35"/>
        <v>0</v>
      </c>
      <c r="AH37" s="6">
        <f>SUM([3]idp!$F$1787)</f>
        <v>216442</v>
      </c>
      <c r="AI37" s="7">
        <f t="shared" si="55"/>
        <v>2.7433341379719488E-2</v>
      </c>
      <c r="AJ37" s="8">
        <f>SUM([3]idp!$J$1787)</f>
        <v>0</v>
      </c>
      <c r="AK37" s="7">
        <f t="shared" si="56"/>
        <v>0</v>
      </c>
      <c r="AL37" s="8">
        <f t="shared" si="84"/>
        <v>0</v>
      </c>
      <c r="AM37" s="7">
        <f t="shared" si="58"/>
        <v>0</v>
      </c>
      <c r="AN37" s="8">
        <f>SUM([3]idp!$N$1787)</f>
        <v>0</v>
      </c>
      <c r="AO37" s="9">
        <f t="shared" si="70"/>
        <v>0</v>
      </c>
      <c r="AP37" s="6">
        <f>SUM([3]idp!$F$1801)</f>
        <v>1975390.1370000001</v>
      </c>
      <c r="AQ37" s="7">
        <f t="shared" si="60"/>
        <v>0.21168201373466727</v>
      </c>
      <c r="AR37" s="8">
        <f>SUM([3]idp!$J$1801)</f>
        <v>1570785.9110000001</v>
      </c>
      <c r="AS37" s="7">
        <f t="shared" si="61"/>
        <v>79.517756091742598</v>
      </c>
      <c r="AT37" s="8">
        <f t="shared" si="85"/>
        <v>404604.22600000002</v>
      </c>
      <c r="AU37" s="7">
        <f t="shared" si="63"/>
        <v>20.482243908257399</v>
      </c>
      <c r="AV37" s="8">
        <f>SUM([3]idp!$N$1801)</f>
        <v>1975390.1370000001</v>
      </c>
      <c r="AW37" s="9">
        <f t="shared" si="71"/>
        <v>100</v>
      </c>
      <c r="AX37" s="6"/>
      <c r="AY37" s="7">
        <f t="shared" si="65"/>
        <v>0</v>
      </c>
      <c r="AZ37" s="8"/>
      <c r="BA37" s="7">
        <f t="shared" si="72"/>
        <v>0</v>
      </c>
      <c r="BB37" s="8"/>
      <c r="BC37" s="7">
        <f t="shared" si="73"/>
        <v>0</v>
      </c>
      <c r="BD37" s="8"/>
      <c r="BE37" s="9">
        <f t="shared" si="74"/>
        <v>0</v>
      </c>
      <c r="BF37" s="6">
        <f>SUM([3]idp!$D$432)</f>
        <v>13701273</v>
      </c>
      <c r="BG37" s="8">
        <f t="shared" si="86"/>
        <v>13112832.137</v>
      </c>
      <c r="BH37" s="10">
        <f t="shared" ref="BH37:BH67" si="94">IF(OR(BG37=0,BG$84=0),0,BG37/BG$84)*100</f>
        <v>9.2398222033896235E-2</v>
      </c>
      <c r="BI37" s="6">
        <f>SUM([2]bomb!$H$320)</f>
        <v>0</v>
      </c>
      <c r="BJ37" s="8">
        <f t="shared" si="87"/>
        <v>13112832.137</v>
      </c>
      <c r="BK37" s="8">
        <f t="shared" si="88"/>
        <v>4157127.8169999998</v>
      </c>
      <c r="BL37" s="7">
        <f t="shared" si="89"/>
        <v>31.70274562784941</v>
      </c>
      <c r="BM37" s="8">
        <f t="shared" si="90"/>
        <v>3845368.9860000005</v>
      </c>
      <c r="BN37" s="7">
        <f t="shared" si="91"/>
        <v>29.325236118516784</v>
      </c>
      <c r="BO37" s="11">
        <f t="shared" si="92"/>
        <v>8002496.8030000003</v>
      </c>
      <c r="BP37" s="9">
        <f t="shared" si="93"/>
        <v>61.027981746366201</v>
      </c>
    </row>
    <row r="38" spans="1:68" x14ac:dyDescent="0.2">
      <c r="A38" s="70" t="s">
        <v>54</v>
      </c>
      <c r="B38" s="6">
        <f>SUM([3]idi!$F$434)</f>
        <v>25914878.193000004</v>
      </c>
      <c r="C38" s="7">
        <f t="shared" si="44"/>
        <v>0.76433624898879338</v>
      </c>
      <c r="D38" s="8">
        <f>SUM([3]idi!$J$434)</f>
        <v>18338055.338999998</v>
      </c>
      <c r="E38" s="7">
        <f t="shared" si="9"/>
        <v>70.762653030541273</v>
      </c>
      <c r="F38" s="8">
        <f t="shared" si="75"/>
        <v>7555529.7860000022</v>
      </c>
      <c r="G38" s="7">
        <f t="shared" si="11"/>
        <v>29.155181551425791</v>
      </c>
      <c r="H38" s="8">
        <f>SUM([3]idi!$N$434)</f>
        <v>25893585.125</v>
      </c>
      <c r="I38" s="9">
        <f t="shared" si="12"/>
        <v>99.917834581967071</v>
      </c>
      <c r="J38" s="6">
        <f>SUM([3]idi!$F$885)</f>
        <v>54738017.045999996</v>
      </c>
      <c r="K38" s="7">
        <f t="shared" si="45"/>
        <v>1.0403264594602737</v>
      </c>
      <c r="L38" s="8">
        <f>SUM([3]idi!$J$885)</f>
        <v>2012643.6500000001</v>
      </c>
      <c r="M38" s="7">
        <f t="shared" si="46"/>
        <v>3.6768662049058918</v>
      </c>
      <c r="N38" s="8">
        <f t="shared" si="76"/>
        <v>7852143.0379999988</v>
      </c>
      <c r="O38" s="7">
        <f t="shared" si="48"/>
        <v>14.344953401218973</v>
      </c>
      <c r="P38" s="8">
        <f>SUM([3]idi!$N$885)</f>
        <v>9864786.6879999992</v>
      </c>
      <c r="Q38" s="9">
        <f t="shared" si="49"/>
        <v>18.021819606124868</v>
      </c>
      <c r="R38" s="6">
        <f t="shared" si="77"/>
        <v>80652895.238999993</v>
      </c>
      <c r="S38" s="7">
        <f t="shared" si="50"/>
        <v>0.93217421951717117</v>
      </c>
      <c r="T38" s="6">
        <f t="shared" si="78"/>
        <v>20350698.988999996</v>
      </c>
      <c r="U38" s="7">
        <f t="shared" si="79"/>
        <v>25.23244693038539</v>
      </c>
      <c r="V38" s="8">
        <f t="shared" si="80"/>
        <v>15407672.824000005</v>
      </c>
      <c r="W38" s="7">
        <f t="shared" si="81"/>
        <v>19.103682240224863</v>
      </c>
      <c r="X38" s="6">
        <f t="shared" si="82"/>
        <v>35758371.813000001</v>
      </c>
      <c r="Y38" s="9">
        <f t="shared" si="83"/>
        <v>44.336129170610249</v>
      </c>
      <c r="Z38" s="6"/>
      <c r="AA38" s="7">
        <f t="shared" si="69"/>
        <v>0</v>
      </c>
      <c r="AB38" s="8"/>
      <c r="AC38" s="7">
        <f t="shared" si="33"/>
        <v>0</v>
      </c>
      <c r="AD38" s="8"/>
      <c r="AE38" s="7">
        <f t="shared" si="34"/>
        <v>0</v>
      </c>
      <c r="AF38" s="8"/>
      <c r="AG38" s="9">
        <f t="shared" si="35"/>
        <v>0</v>
      </c>
      <c r="AH38" s="6">
        <f>SUM([3]idi!$F$1787)</f>
        <v>638741.25199999998</v>
      </c>
      <c r="AI38" s="7">
        <f t="shared" si="55"/>
        <v>8.0958440688154026E-2</v>
      </c>
      <c r="AJ38" s="8">
        <f>SUM([3]idi!$J$1787)</f>
        <v>230184.45</v>
      </c>
      <c r="AK38" s="7">
        <f t="shared" si="56"/>
        <v>36.037198048389087</v>
      </c>
      <c r="AL38" s="8">
        <f t="shared" si="84"/>
        <v>408556.80199999997</v>
      </c>
      <c r="AM38" s="7">
        <f t="shared" si="58"/>
        <v>63.962801951610913</v>
      </c>
      <c r="AN38" s="8">
        <f>SUM([3]idi!$N$1787)</f>
        <v>638741.25199999998</v>
      </c>
      <c r="AO38" s="9">
        <f t="shared" si="70"/>
        <v>100</v>
      </c>
      <c r="AP38" s="6">
        <f>SUM([3]idi!$F$1801)</f>
        <v>24814405.320000004</v>
      </c>
      <c r="AQ38" s="7">
        <f t="shared" si="60"/>
        <v>2.6591017082545259</v>
      </c>
      <c r="AR38" s="8">
        <f>SUM([3]idi!$J$1801)</f>
        <v>15205385.326000001</v>
      </c>
      <c r="AS38" s="7">
        <f t="shared" si="61"/>
        <v>61.276444589001336</v>
      </c>
      <c r="AT38" s="8">
        <f t="shared" si="85"/>
        <v>9032850.9729999974</v>
      </c>
      <c r="AU38" s="7">
        <f t="shared" si="63"/>
        <v>36.40164193545943</v>
      </c>
      <c r="AV38" s="8">
        <f>SUM([3]idi!$N$1801)</f>
        <v>24238236.298999999</v>
      </c>
      <c r="AW38" s="9">
        <f t="shared" si="71"/>
        <v>97.678086524460767</v>
      </c>
      <c r="AX38" s="6"/>
      <c r="AY38" s="7">
        <f t="shared" si="65"/>
        <v>0</v>
      </c>
      <c r="AZ38" s="8"/>
      <c r="BA38" s="7">
        <f t="shared" si="72"/>
        <v>0</v>
      </c>
      <c r="BB38" s="8"/>
      <c r="BC38" s="7">
        <f t="shared" si="73"/>
        <v>0</v>
      </c>
      <c r="BD38" s="8"/>
      <c r="BE38" s="9">
        <f t="shared" si="74"/>
        <v>0</v>
      </c>
      <c r="BF38" s="6">
        <f>SUM([3]idi!$D$432)</f>
        <v>106106042</v>
      </c>
      <c r="BG38" s="8">
        <f t="shared" si="86"/>
        <v>106106041.811</v>
      </c>
      <c r="BH38" s="10">
        <f t="shared" si="94"/>
        <v>0.74766530280876853</v>
      </c>
      <c r="BI38" s="6">
        <f>SUM([2]bomb!$H$320)</f>
        <v>0</v>
      </c>
      <c r="BJ38" s="8">
        <f t="shared" si="87"/>
        <v>106106041.811</v>
      </c>
      <c r="BK38" s="8">
        <f t="shared" si="88"/>
        <v>35786268.765000001</v>
      </c>
      <c r="BL38" s="7">
        <f t="shared" si="89"/>
        <v>33.726890716311722</v>
      </c>
      <c r="BM38" s="8">
        <f t="shared" si="90"/>
        <v>24849080.598999999</v>
      </c>
      <c r="BN38" s="7">
        <f t="shared" si="91"/>
        <v>23.419100528942639</v>
      </c>
      <c r="BO38" s="11">
        <f t="shared" si="92"/>
        <v>60635349.364</v>
      </c>
      <c r="BP38" s="9">
        <f t="shared" si="93"/>
        <v>57.145991245254365</v>
      </c>
    </row>
    <row r="39" spans="1:68" x14ac:dyDescent="0.2">
      <c r="A39" s="70" t="s">
        <v>55</v>
      </c>
      <c r="B39" s="6">
        <f>SUM([3]fga!$F$434)</f>
        <v>1743784.696</v>
      </c>
      <c r="C39" s="7">
        <f t="shared" si="44"/>
        <v>5.1431376356795795E-2</v>
      </c>
      <c r="D39" s="8">
        <f>SUM([3]fga!$J$434)</f>
        <v>1274557.446</v>
      </c>
      <c r="E39" s="7">
        <f t="shared" si="9"/>
        <v>73.091445803123392</v>
      </c>
      <c r="F39" s="8">
        <f t="shared" si="75"/>
        <v>459222.55000000005</v>
      </c>
      <c r="G39" s="7">
        <f t="shared" si="11"/>
        <v>26.334819376118666</v>
      </c>
      <c r="H39" s="8">
        <f>SUM([3]fga!$N$434)</f>
        <v>1733779.996</v>
      </c>
      <c r="I39" s="9">
        <f t="shared" si="12"/>
        <v>99.426265179242051</v>
      </c>
      <c r="J39" s="6">
        <f>SUM([3]fga!$F$885)</f>
        <v>1457215.304</v>
      </c>
      <c r="K39" s="7">
        <f t="shared" si="45"/>
        <v>2.7695187361421368E-2</v>
      </c>
      <c r="L39" s="8">
        <f>SUM([3]fga!$J$885)</f>
        <v>233160.61199999999</v>
      </c>
      <c r="M39" s="7">
        <f t="shared" si="46"/>
        <v>16.00042295465763</v>
      </c>
      <c r="N39" s="8">
        <f t="shared" si="76"/>
        <v>344078.99199999997</v>
      </c>
      <c r="O39" s="7">
        <f t="shared" si="48"/>
        <v>23.612090200776535</v>
      </c>
      <c r="P39" s="8">
        <f>SUM([3]fga!$N$885)</f>
        <v>577239.60399999993</v>
      </c>
      <c r="Q39" s="9">
        <f t="shared" si="49"/>
        <v>39.612513155434165</v>
      </c>
      <c r="R39" s="6">
        <f t="shared" si="77"/>
        <v>3201000</v>
      </c>
      <c r="S39" s="7">
        <f t="shared" si="50"/>
        <v>3.6996683973120337E-2</v>
      </c>
      <c r="T39" s="6">
        <f t="shared" si="78"/>
        <v>1507718.058</v>
      </c>
      <c r="U39" s="7">
        <f t="shared" si="79"/>
        <v>47.10147010309278</v>
      </c>
      <c r="V39" s="8">
        <f t="shared" si="80"/>
        <v>803301.54200000013</v>
      </c>
      <c r="W39" s="7">
        <f t="shared" si="81"/>
        <v>25.09533089659482</v>
      </c>
      <c r="X39" s="6">
        <f t="shared" si="82"/>
        <v>2311019.6</v>
      </c>
      <c r="Y39" s="9">
        <f t="shared" si="83"/>
        <v>72.196800999687611</v>
      </c>
      <c r="Z39" s="6"/>
      <c r="AA39" s="7">
        <f t="shared" si="69"/>
        <v>0</v>
      </c>
      <c r="AB39" s="8"/>
      <c r="AC39" s="7">
        <f t="shared" si="33"/>
        <v>0</v>
      </c>
      <c r="AD39" s="8"/>
      <c r="AE39" s="7">
        <f t="shared" si="34"/>
        <v>0</v>
      </c>
      <c r="AF39" s="8"/>
      <c r="AG39" s="9">
        <f t="shared" si="35"/>
        <v>0</v>
      </c>
      <c r="AH39" s="6">
        <f>SUM([3]fga!$F$1787)</f>
        <v>70000</v>
      </c>
      <c r="AI39" s="7">
        <f t="shared" si="55"/>
        <v>8.872279393927077E-3</v>
      </c>
      <c r="AJ39" s="8">
        <f>SUM([3]fga!$J$1787)</f>
        <v>51550.341999999997</v>
      </c>
      <c r="AK39" s="7">
        <f t="shared" si="56"/>
        <v>73.643345714285715</v>
      </c>
      <c r="AL39" s="8">
        <f t="shared" si="84"/>
        <v>0</v>
      </c>
      <c r="AM39" s="7">
        <f t="shared" si="58"/>
        <v>0</v>
      </c>
      <c r="AN39" s="8">
        <f>SUM([3]fga!$N$1787)</f>
        <v>51550.341999999997</v>
      </c>
      <c r="AO39" s="9">
        <f t="shared" si="70"/>
        <v>73.643345714285715</v>
      </c>
      <c r="AP39" s="6">
        <f>SUM([3]fga!$F$1801)</f>
        <v>513578.44299999997</v>
      </c>
      <c r="AQ39" s="7">
        <f t="shared" si="60"/>
        <v>5.5034859691088463E-2</v>
      </c>
      <c r="AR39" s="8">
        <f>SUM([3]fga!$J$1801)</f>
        <v>287364.56599999999</v>
      </c>
      <c r="AS39" s="7">
        <f t="shared" si="61"/>
        <v>55.953393277451092</v>
      </c>
      <c r="AT39" s="8">
        <f t="shared" si="85"/>
        <v>226209.59500000003</v>
      </c>
      <c r="AU39" s="7">
        <f t="shared" si="63"/>
        <v>44.045772964812706</v>
      </c>
      <c r="AV39" s="8">
        <f>SUM([3]fga!$N$1801)</f>
        <v>513574.16100000002</v>
      </c>
      <c r="AW39" s="9">
        <f t="shared" si="71"/>
        <v>99.999166242263797</v>
      </c>
      <c r="AX39" s="6"/>
      <c r="AY39" s="7">
        <f t="shared" si="65"/>
        <v>0</v>
      </c>
      <c r="AZ39" s="8"/>
      <c r="BA39" s="7">
        <f t="shared" si="72"/>
        <v>0</v>
      </c>
      <c r="BB39" s="8"/>
      <c r="BC39" s="7">
        <f t="shared" si="73"/>
        <v>0</v>
      </c>
      <c r="BD39" s="8"/>
      <c r="BE39" s="9">
        <f t="shared" si="74"/>
        <v>0</v>
      </c>
      <c r="BF39" s="6">
        <f>SUM([3]fga!$D$432)</f>
        <v>3793000</v>
      </c>
      <c r="BG39" s="8">
        <f t="shared" si="86"/>
        <v>3784578.443</v>
      </c>
      <c r="BH39" s="10">
        <f t="shared" si="94"/>
        <v>2.6667642476281578E-2</v>
      </c>
      <c r="BI39" s="6">
        <f>SUM([2]bomb!$H$320)</f>
        <v>0</v>
      </c>
      <c r="BJ39" s="8">
        <f t="shared" si="87"/>
        <v>3784578.443</v>
      </c>
      <c r="BK39" s="8">
        <f t="shared" si="88"/>
        <v>1846632.966</v>
      </c>
      <c r="BL39" s="7">
        <f t="shared" si="89"/>
        <v>48.793623749972831</v>
      </c>
      <c r="BM39" s="8">
        <f t="shared" si="90"/>
        <v>1029511.1370000001</v>
      </c>
      <c r="BN39" s="7">
        <f t="shared" si="91"/>
        <v>27.202795569059901</v>
      </c>
      <c r="BO39" s="11">
        <f t="shared" si="92"/>
        <v>2876144.1030000001</v>
      </c>
      <c r="BP39" s="9">
        <f t="shared" si="93"/>
        <v>75.996419319032725</v>
      </c>
    </row>
    <row r="40" spans="1:68" x14ac:dyDescent="0.2">
      <c r="A40" s="70" t="s">
        <v>56</v>
      </c>
      <c r="B40" s="6">
        <f>SUM([3]orq!$F$434)</f>
        <v>4665513.8130000001</v>
      </c>
      <c r="C40" s="7">
        <f t="shared" si="44"/>
        <v>0.1376051741735394</v>
      </c>
      <c r="D40" s="8">
        <f>SUM([3]orq!$J$434)</f>
        <v>2904151.4849999999</v>
      </c>
      <c r="E40" s="7">
        <f t="shared" si="9"/>
        <v>62.247195087234864</v>
      </c>
      <c r="F40" s="8">
        <f t="shared" si="75"/>
        <v>1758620.1019999995</v>
      </c>
      <c r="G40" s="7">
        <f t="shared" si="11"/>
        <v>37.694028406898632</v>
      </c>
      <c r="H40" s="8">
        <f>SUM([3]orq!$N$434)</f>
        <v>4662771.5869999994</v>
      </c>
      <c r="I40" s="9">
        <f t="shared" si="12"/>
        <v>99.941223494133496</v>
      </c>
      <c r="J40" s="6">
        <f>SUM([3]orq!$F$885)</f>
        <v>1814486.1869999999</v>
      </c>
      <c r="K40" s="7">
        <f t="shared" si="45"/>
        <v>3.4485319208311063E-2</v>
      </c>
      <c r="L40" s="8">
        <f>SUM([3]orq!$J$885)</f>
        <v>165278.01999999999</v>
      </c>
      <c r="M40" s="7">
        <f t="shared" si="46"/>
        <v>9.1088056323682558</v>
      </c>
      <c r="N40" s="8">
        <f t="shared" si="76"/>
        <v>581133.45600000001</v>
      </c>
      <c r="O40" s="7">
        <f t="shared" si="48"/>
        <v>32.027438961154239</v>
      </c>
      <c r="P40" s="8">
        <f>SUM([3]orq!$N$885)</f>
        <v>746411.47600000002</v>
      </c>
      <c r="Q40" s="9">
        <f t="shared" si="49"/>
        <v>41.136244593522498</v>
      </c>
      <c r="R40" s="6">
        <f t="shared" si="77"/>
        <v>6480000</v>
      </c>
      <c r="S40" s="7">
        <f t="shared" si="50"/>
        <v>7.4894880395445118E-2</v>
      </c>
      <c r="T40" s="6">
        <f t="shared" si="78"/>
        <v>3069429.5049999999</v>
      </c>
      <c r="U40" s="7">
        <f t="shared" si="79"/>
        <v>47.36773927469136</v>
      </c>
      <c r="V40" s="8">
        <f t="shared" si="80"/>
        <v>2339753.5579999993</v>
      </c>
      <c r="W40" s="7">
        <f t="shared" si="81"/>
        <v>36.107307993827149</v>
      </c>
      <c r="X40" s="6">
        <f t="shared" si="82"/>
        <v>5409183.0629999992</v>
      </c>
      <c r="Y40" s="9">
        <f t="shared" si="83"/>
        <v>83.475047268518509</v>
      </c>
      <c r="Z40" s="6"/>
      <c r="AA40" s="7">
        <f t="shared" si="69"/>
        <v>0</v>
      </c>
      <c r="AB40" s="8"/>
      <c r="AC40" s="7">
        <f t="shared" si="33"/>
        <v>0</v>
      </c>
      <c r="AD40" s="8"/>
      <c r="AE40" s="7">
        <f t="shared" si="34"/>
        <v>0</v>
      </c>
      <c r="AF40" s="8"/>
      <c r="AG40" s="9">
        <f t="shared" si="35"/>
        <v>0</v>
      </c>
      <c r="AH40" s="6">
        <f>SUM([3]orq!$F$1787)</f>
        <v>0</v>
      </c>
      <c r="AI40" s="7">
        <f t="shared" si="55"/>
        <v>0</v>
      </c>
      <c r="AJ40" s="8">
        <f>SUM([3]orq!$J$1787)</f>
        <v>0</v>
      </c>
      <c r="AK40" s="7">
        <f t="shared" si="56"/>
        <v>0</v>
      </c>
      <c r="AL40" s="8">
        <f t="shared" si="84"/>
        <v>0</v>
      </c>
      <c r="AM40" s="7">
        <f t="shared" si="58"/>
        <v>0</v>
      </c>
      <c r="AN40" s="8">
        <f>SUM([3]orq!$N$1787)</f>
        <v>0</v>
      </c>
      <c r="AO40" s="9">
        <f t="shared" si="70"/>
        <v>0</v>
      </c>
      <c r="AP40" s="6">
        <f>SUM([3]orq!$F$1801)</f>
        <v>0</v>
      </c>
      <c r="AQ40" s="7">
        <f t="shared" si="60"/>
        <v>0</v>
      </c>
      <c r="AR40" s="8">
        <f>SUM([3]orq!$J$1801)</f>
        <v>0</v>
      </c>
      <c r="AS40" s="7">
        <f t="shared" si="61"/>
        <v>0</v>
      </c>
      <c r="AT40" s="8">
        <f t="shared" si="85"/>
        <v>0</v>
      </c>
      <c r="AU40" s="7">
        <f t="shared" si="63"/>
        <v>0</v>
      </c>
      <c r="AV40" s="8">
        <f>SUM([3]orq!$N$1801)</f>
        <v>0</v>
      </c>
      <c r="AW40" s="9">
        <f t="shared" si="71"/>
        <v>0</v>
      </c>
      <c r="AX40" s="6"/>
      <c r="AY40" s="7">
        <f t="shared" si="65"/>
        <v>0</v>
      </c>
      <c r="AZ40" s="8"/>
      <c r="BA40" s="7">
        <f t="shared" si="72"/>
        <v>0</v>
      </c>
      <c r="BB40" s="8"/>
      <c r="BC40" s="7">
        <f t="shared" si="73"/>
        <v>0</v>
      </c>
      <c r="BD40" s="8"/>
      <c r="BE40" s="9">
        <f t="shared" si="74"/>
        <v>0</v>
      </c>
      <c r="BF40" s="6">
        <f>SUM([3]orq!$D$432)</f>
        <v>6480000</v>
      </c>
      <c r="BG40" s="8">
        <f t="shared" si="86"/>
        <v>6480000</v>
      </c>
      <c r="BH40" s="10">
        <f t="shared" si="94"/>
        <v>4.566065305527732E-2</v>
      </c>
      <c r="BI40" s="6">
        <f>SUM([2]bomb!$H$320)</f>
        <v>0</v>
      </c>
      <c r="BJ40" s="8">
        <f t="shared" si="87"/>
        <v>6480000</v>
      </c>
      <c r="BK40" s="8">
        <f t="shared" si="88"/>
        <v>3069429.5049999999</v>
      </c>
      <c r="BL40" s="7">
        <f t="shared" si="89"/>
        <v>47.36773927469136</v>
      </c>
      <c r="BM40" s="8">
        <f t="shared" si="90"/>
        <v>2339753.5579999993</v>
      </c>
      <c r="BN40" s="7">
        <f t="shared" si="91"/>
        <v>36.107307993827149</v>
      </c>
      <c r="BO40" s="11">
        <f t="shared" si="92"/>
        <v>5409183.0629999992</v>
      </c>
      <c r="BP40" s="9">
        <f t="shared" si="93"/>
        <v>83.475047268518509</v>
      </c>
    </row>
    <row r="41" spans="1:68" x14ac:dyDescent="0.2">
      <c r="A41" s="70" t="s">
        <v>57</v>
      </c>
      <c r="B41" s="6">
        <f>SUM([3]fvs!$F$434)</f>
        <v>57333950.601999983</v>
      </c>
      <c r="C41" s="7">
        <f t="shared" si="44"/>
        <v>1.6910138035948219</v>
      </c>
      <c r="D41" s="8">
        <f>SUM([3]fvs!$J$434)</f>
        <v>25174514.277000006</v>
      </c>
      <c r="E41" s="7">
        <f t="shared" si="9"/>
        <v>43.908563796268105</v>
      </c>
      <c r="F41" s="8">
        <f t="shared" si="75"/>
        <v>32074543.974999998</v>
      </c>
      <c r="G41" s="7">
        <f t="shared" si="11"/>
        <v>55.943369745536323</v>
      </c>
      <c r="H41" s="8">
        <f>SUM([3]fvs!$N$434)</f>
        <v>57249058.252000004</v>
      </c>
      <c r="I41" s="9">
        <f t="shared" si="12"/>
        <v>99.851933541804428</v>
      </c>
      <c r="J41" s="6">
        <f>SUM([3]fvs!$F$885)</f>
        <v>113724049.398</v>
      </c>
      <c r="K41" s="7">
        <f t="shared" si="45"/>
        <v>2.1613888125739509</v>
      </c>
      <c r="L41" s="8">
        <f>SUM([3]fvs!$J$885)</f>
        <v>6064567.7330000009</v>
      </c>
      <c r="M41" s="7">
        <f t="shared" si="46"/>
        <v>5.3327047050319463</v>
      </c>
      <c r="N41" s="8">
        <f t="shared" si="76"/>
        <v>32990733.572000004</v>
      </c>
      <c r="O41" s="7">
        <f t="shared" si="48"/>
        <v>29.009460836680507</v>
      </c>
      <c r="P41" s="8">
        <f>SUM([3]fvs!$N$885)</f>
        <v>39055301.305000007</v>
      </c>
      <c r="Q41" s="9">
        <f t="shared" si="49"/>
        <v>34.342165541712454</v>
      </c>
      <c r="R41" s="6">
        <f t="shared" si="77"/>
        <v>171058000</v>
      </c>
      <c r="S41" s="7">
        <f t="shared" si="50"/>
        <v>1.9770630325129706</v>
      </c>
      <c r="T41" s="6">
        <f t="shared" si="78"/>
        <v>31239082.010000005</v>
      </c>
      <c r="U41" s="7">
        <f t="shared" si="79"/>
        <v>18.262274789837367</v>
      </c>
      <c r="V41" s="8">
        <f t="shared" si="80"/>
        <v>65065277.547000006</v>
      </c>
      <c r="W41" s="7">
        <f t="shared" si="81"/>
        <v>38.036968482619933</v>
      </c>
      <c r="X41" s="6">
        <f t="shared" si="82"/>
        <v>96304359.557000011</v>
      </c>
      <c r="Y41" s="9">
        <f t="shared" si="83"/>
        <v>56.299243272457304</v>
      </c>
      <c r="Z41" s="6"/>
      <c r="AA41" s="7">
        <f t="shared" si="69"/>
        <v>0</v>
      </c>
      <c r="AB41" s="8"/>
      <c r="AC41" s="7">
        <f t="shared" si="33"/>
        <v>0</v>
      </c>
      <c r="AD41" s="8"/>
      <c r="AE41" s="7">
        <f t="shared" si="34"/>
        <v>0</v>
      </c>
      <c r="AF41" s="8"/>
      <c r="AG41" s="9">
        <f t="shared" si="35"/>
        <v>0</v>
      </c>
      <c r="AH41" s="6">
        <f>SUM([3]fvs!$F$1787)</f>
        <v>20488452</v>
      </c>
      <c r="AI41" s="7">
        <f t="shared" si="55"/>
        <v>2.5968467213294861</v>
      </c>
      <c r="AJ41" s="8">
        <f>SUM([3]fvs!$J$1787)</f>
        <v>5153482.9009999996</v>
      </c>
      <c r="AK41" s="7">
        <f t="shared" si="56"/>
        <v>25.153110156882519</v>
      </c>
      <c r="AL41" s="8">
        <f t="shared" si="84"/>
        <v>1465763.1700000009</v>
      </c>
      <c r="AM41" s="7">
        <f t="shared" si="58"/>
        <v>7.1540942673463128</v>
      </c>
      <c r="AN41" s="8">
        <f>SUM([3]fvs!$N$1787)</f>
        <v>6619246.0710000005</v>
      </c>
      <c r="AO41" s="9">
        <f t="shared" si="70"/>
        <v>32.307204424228829</v>
      </c>
      <c r="AP41" s="6">
        <f>SUM([3]fvs!$F$1801)</f>
        <v>59223209.737999998</v>
      </c>
      <c r="AQ41" s="7">
        <f t="shared" si="60"/>
        <v>6.3463353705964138</v>
      </c>
      <c r="AR41" s="8">
        <f>SUM([3]fvs!$J$1801)</f>
        <v>38038004.238000005</v>
      </c>
      <c r="AS41" s="7">
        <f t="shared" si="61"/>
        <v>64.228204459498059</v>
      </c>
      <c r="AT41" s="8">
        <f t="shared" si="85"/>
        <v>20794979.445999995</v>
      </c>
      <c r="AU41" s="7">
        <f t="shared" si="63"/>
        <v>35.112888237560512</v>
      </c>
      <c r="AV41" s="8">
        <f>SUM([3]fvs!$N$1801)</f>
        <v>58832983.684</v>
      </c>
      <c r="AW41" s="9">
        <f t="shared" si="71"/>
        <v>99.341092697058571</v>
      </c>
      <c r="AX41" s="6"/>
      <c r="AY41" s="7">
        <f t="shared" si="65"/>
        <v>0</v>
      </c>
      <c r="AZ41" s="8"/>
      <c r="BA41" s="7">
        <f t="shared" si="72"/>
        <v>0</v>
      </c>
      <c r="BB41" s="8"/>
      <c r="BC41" s="7">
        <f t="shared" si="73"/>
        <v>0</v>
      </c>
      <c r="BD41" s="8"/>
      <c r="BE41" s="9">
        <f t="shared" si="74"/>
        <v>0</v>
      </c>
      <c r="BF41" s="6">
        <f>SUM([3]fvs!$D$432)</f>
        <v>261874785</v>
      </c>
      <c r="BG41" s="8">
        <f t="shared" si="86"/>
        <v>250769661.73800001</v>
      </c>
      <c r="BH41" s="10">
        <f t="shared" si="94"/>
        <v>1.7670226113284055</v>
      </c>
      <c r="BI41" s="6">
        <f>SUM([2]bomb!$H$320)</f>
        <v>0</v>
      </c>
      <c r="BJ41" s="8">
        <f t="shared" si="87"/>
        <v>250769661.73800001</v>
      </c>
      <c r="BK41" s="8">
        <f t="shared" si="88"/>
        <v>74430569.149000019</v>
      </c>
      <c r="BL41" s="7">
        <f t="shared" si="89"/>
        <v>29.680850798755653</v>
      </c>
      <c r="BM41" s="8">
        <f t="shared" si="90"/>
        <v>87326020.163000003</v>
      </c>
      <c r="BN41" s="7">
        <f t="shared" si="91"/>
        <v>34.82319972750004</v>
      </c>
      <c r="BO41" s="11">
        <f t="shared" si="92"/>
        <v>161756589.31200004</v>
      </c>
      <c r="BP41" s="9">
        <f t="shared" si="93"/>
        <v>64.50405052625571</v>
      </c>
    </row>
    <row r="42" spans="1:68" x14ac:dyDescent="0.2">
      <c r="A42" s="70" t="s">
        <v>58</v>
      </c>
      <c r="B42" s="6">
        <f>SUM([3]jar!$F$434)</f>
        <v>6552174.7090000007</v>
      </c>
      <c r="C42" s="7">
        <f t="shared" si="44"/>
        <v>0.19325055678436695</v>
      </c>
      <c r="D42" s="8">
        <f>SUM([3]jar!$J$434)</f>
        <v>4811789.7880000006</v>
      </c>
      <c r="E42" s="7">
        <f t="shared" si="9"/>
        <v>73.438056854475732</v>
      </c>
      <c r="F42" s="8">
        <f t="shared" si="75"/>
        <v>1719100.9209999992</v>
      </c>
      <c r="G42" s="7">
        <f t="shared" si="11"/>
        <v>26.237104432497194</v>
      </c>
      <c r="H42" s="8">
        <f>SUM([3]jar!$N$434)</f>
        <v>6530890.7089999998</v>
      </c>
      <c r="I42" s="9">
        <f t="shared" si="12"/>
        <v>99.675161286972923</v>
      </c>
      <c r="J42" s="6">
        <f>SUM([3]jar!$F$885)</f>
        <v>12447825.290999999</v>
      </c>
      <c r="K42" s="7">
        <f t="shared" si="45"/>
        <v>0.23657784318499336</v>
      </c>
      <c r="L42" s="8">
        <f>SUM([3]jar!$J$885)</f>
        <v>23923.237000000001</v>
      </c>
      <c r="M42" s="7">
        <f t="shared" si="46"/>
        <v>0.192188084590944</v>
      </c>
      <c r="N42" s="8">
        <f t="shared" si="76"/>
        <v>2222729.4899999998</v>
      </c>
      <c r="O42" s="7">
        <f t="shared" si="48"/>
        <v>17.856367984270097</v>
      </c>
      <c r="P42" s="8">
        <f>SUM([3]jar!$N$885)</f>
        <v>2246652.727</v>
      </c>
      <c r="Q42" s="9">
        <f t="shared" si="49"/>
        <v>18.048556068861039</v>
      </c>
      <c r="R42" s="6">
        <f t="shared" si="77"/>
        <v>19000000</v>
      </c>
      <c r="S42" s="7">
        <f t="shared" si="50"/>
        <v>0.21959918634466929</v>
      </c>
      <c r="T42" s="6">
        <f t="shared" si="78"/>
        <v>4835713.0250000004</v>
      </c>
      <c r="U42" s="7">
        <f t="shared" si="79"/>
        <v>25.451121184210528</v>
      </c>
      <c r="V42" s="8">
        <f t="shared" si="80"/>
        <v>3941830.4110000003</v>
      </c>
      <c r="W42" s="7">
        <f t="shared" si="81"/>
        <v>20.746475847368423</v>
      </c>
      <c r="X42" s="6">
        <f t="shared" si="82"/>
        <v>8777543.4360000007</v>
      </c>
      <c r="Y42" s="9">
        <f t="shared" si="83"/>
        <v>46.197597031578951</v>
      </c>
      <c r="Z42" s="6"/>
      <c r="AA42" s="7">
        <f t="shared" si="69"/>
        <v>0</v>
      </c>
      <c r="AB42" s="8"/>
      <c r="AC42" s="7">
        <f t="shared" si="33"/>
        <v>0</v>
      </c>
      <c r="AD42" s="8"/>
      <c r="AE42" s="7">
        <f t="shared" si="34"/>
        <v>0</v>
      </c>
      <c r="AF42" s="8"/>
      <c r="AG42" s="9">
        <f t="shared" si="35"/>
        <v>0</v>
      </c>
      <c r="AH42" s="6">
        <f>SUM([3]jar!$F$1787)</f>
        <v>83022</v>
      </c>
      <c r="AI42" s="7">
        <f t="shared" si="55"/>
        <v>1.0522776854894483E-2</v>
      </c>
      <c r="AJ42" s="8">
        <f>SUM([3]jar!$J$1787)</f>
        <v>41416.419000000002</v>
      </c>
      <c r="AK42" s="7">
        <f t="shared" si="56"/>
        <v>49.886077184360772</v>
      </c>
      <c r="AL42" s="8">
        <f t="shared" si="84"/>
        <v>0</v>
      </c>
      <c r="AM42" s="7">
        <f t="shared" si="58"/>
        <v>0</v>
      </c>
      <c r="AN42" s="8">
        <f>SUM([3]jar!$N$1787)</f>
        <v>41416.419000000002</v>
      </c>
      <c r="AO42" s="9">
        <f t="shared" si="70"/>
        <v>49.886077184360772</v>
      </c>
      <c r="AP42" s="6">
        <f>SUM([3]jar!$F$1801)</f>
        <v>2798784.247</v>
      </c>
      <c r="AQ42" s="7">
        <f t="shared" si="60"/>
        <v>0.29991659587486558</v>
      </c>
      <c r="AR42" s="8">
        <f>SUM([3]jar!$J$1801)</f>
        <v>1894057.1629999999</v>
      </c>
      <c r="AS42" s="7">
        <f t="shared" si="61"/>
        <v>67.674282682926645</v>
      </c>
      <c r="AT42" s="8">
        <f t="shared" si="85"/>
        <v>892537.08400000003</v>
      </c>
      <c r="AU42" s="7">
        <f t="shared" si="63"/>
        <v>31.890171061120743</v>
      </c>
      <c r="AV42" s="8">
        <f>SUM([3]jar!$N$1801)</f>
        <v>2786594.247</v>
      </c>
      <c r="AW42" s="9">
        <f t="shared" si="71"/>
        <v>99.564453744047384</v>
      </c>
      <c r="AX42" s="6"/>
      <c r="AY42" s="7">
        <f t="shared" si="65"/>
        <v>0</v>
      </c>
      <c r="AZ42" s="8"/>
      <c r="BA42" s="7">
        <f t="shared" si="72"/>
        <v>0</v>
      </c>
      <c r="BB42" s="8"/>
      <c r="BC42" s="7">
        <f t="shared" si="73"/>
        <v>0</v>
      </c>
      <c r="BD42" s="8"/>
      <c r="BE42" s="9">
        <f t="shared" si="74"/>
        <v>0</v>
      </c>
      <c r="BF42" s="6">
        <f>SUM([3]jar!$D$432)</f>
        <v>22315264</v>
      </c>
      <c r="BG42" s="8">
        <f t="shared" si="86"/>
        <v>21881806.247000001</v>
      </c>
      <c r="BH42" s="10">
        <f t="shared" si="94"/>
        <v>0.1541878955659054</v>
      </c>
      <c r="BI42" s="6">
        <f>SUM([2]bomb!$H$320)</f>
        <v>0</v>
      </c>
      <c r="BJ42" s="8">
        <f t="shared" si="87"/>
        <v>21881806.247000001</v>
      </c>
      <c r="BK42" s="8">
        <f t="shared" si="88"/>
        <v>6771186.6069999998</v>
      </c>
      <c r="BL42" s="7">
        <f t="shared" si="89"/>
        <v>30.944367802947394</v>
      </c>
      <c r="BM42" s="8">
        <f t="shared" si="90"/>
        <v>4834367.4950000001</v>
      </c>
      <c r="BN42" s="7">
        <f t="shared" si="91"/>
        <v>22.093091586819039</v>
      </c>
      <c r="BO42" s="11">
        <f t="shared" si="92"/>
        <v>11605554.102</v>
      </c>
      <c r="BP42" s="9">
        <f t="shared" si="93"/>
        <v>53.037459389766425</v>
      </c>
    </row>
    <row r="43" spans="1:68" ht="25.5" x14ac:dyDescent="0.2">
      <c r="A43" s="70" t="s">
        <v>59</v>
      </c>
      <c r="B43" s="6">
        <f>SUM([3]ide!$F$434)</f>
        <v>1179378.3339999998</v>
      </c>
      <c r="C43" s="7">
        <f t="shared" si="44"/>
        <v>3.478471344664491E-2</v>
      </c>
      <c r="D43" s="8">
        <f>SUM([3]ide!$J$434)</f>
        <v>673945.70200000005</v>
      </c>
      <c r="E43" s="7">
        <f t="shared" si="9"/>
        <v>57.144148113543366</v>
      </c>
      <c r="F43" s="8">
        <f t="shared" si="75"/>
        <v>505432.63199999998</v>
      </c>
      <c r="G43" s="7">
        <f t="shared" si="11"/>
        <v>42.855851886456655</v>
      </c>
      <c r="H43" s="8">
        <f>SUM([3]ide!$N$434)</f>
        <v>1179378.334</v>
      </c>
      <c r="I43" s="9">
        <f t="shared" si="12"/>
        <v>100.00000000000003</v>
      </c>
      <c r="J43" s="6">
        <f>SUM([3]ide!$F$885)</f>
        <v>3727511.5020000003</v>
      </c>
      <c r="K43" s="7">
        <f t="shared" si="45"/>
        <v>7.0843429352113907E-2</v>
      </c>
      <c r="L43" s="8">
        <f>SUM([3]ide!$J$885)</f>
        <v>311098.08100000001</v>
      </c>
      <c r="M43" s="7">
        <f t="shared" si="46"/>
        <v>8.3459992231567899</v>
      </c>
      <c r="N43" s="8">
        <f t="shared" si="76"/>
        <v>1054991.2679999999</v>
      </c>
      <c r="O43" s="7">
        <f t="shared" si="48"/>
        <v>28.30283065347869</v>
      </c>
      <c r="P43" s="8">
        <f>SUM([3]ide!$N$885)</f>
        <v>1366089.3489999999</v>
      </c>
      <c r="Q43" s="9">
        <f t="shared" si="49"/>
        <v>36.648829876635475</v>
      </c>
      <c r="R43" s="6">
        <f t="shared" si="77"/>
        <v>4906889.8360000001</v>
      </c>
      <c r="S43" s="7">
        <f t="shared" si="50"/>
        <v>5.6713106077290937E-2</v>
      </c>
      <c r="T43" s="6">
        <f t="shared" si="78"/>
        <v>985043.78300000005</v>
      </c>
      <c r="U43" s="7">
        <f t="shared" si="79"/>
        <v>20.074707521923671</v>
      </c>
      <c r="V43" s="8">
        <f t="shared" si="80"/>
        <v>1560423.9000000001</v>
      </c>
      <c r="W43" s="7">
        <f t="shared" si="81"/>
        <v>31.800671141050664</v>
      </c>
      <c r="X43" s="6">
        <f t="shared" si="82"/>
        <v>2545467.6830000002</v>
      </c>
      <c r="Y43" s="9">
        <f t="shared" si="83"/>
        <v>51.875378662974327</v>
      </c>
      <c r="Z43" s="6"/>
      <c r="AA43" s="7">
        <f t="shared" si="69"/>
        <v>0</v>
      </c>
      <c r="AB43" s="8"/>
      <c r="AC43" s="7">
        <f t="shared" si="33"/>
        <v>0</v>
      </c>
      <c r="AD43" s="8"/>
      <c r="AE43" s="7">
        <f t="shared" si="34"/>
        <v>0</v>
      </c>
      <c r="AF43" s="8"/>
      <c r="AG43" s="9">
        <f t="shared" si="35"/>
        <v>0</v>
      </c>
      <c r="AH43" s="6">
        <f>SUM([3]ide!$F$1787)</f>
        <v>0</v>
      </c>
      <c r="AI43" s="7">
        <f t="shared" si="55"/>
        <v>0</v>
      </c>
      <c r="AJ43" s="8">
        <f>SUM([3]ide!$J$1787)</f>
        <v>0</v>
      </c>
      <c r="AK43" s="7">
        <f t="shared" si="56"/>
        <v>0</v>
      </c>
      <c r="AL43" s="8">
        <f t="shared" si="84"/>
        <v>0</v>
      </c>
      <c r="AM43" s="7">
        <f t="shared" si="58"/>
        <v>0</v>
      </c>
      <c r="AN43" s="8">
        <f>SUM([3]ide!$N$1787)</f>
        <v>0</v>
      </c>
      <c r="AO43" s="9">
        <f t="shared" si="70"/>
        <v>0</v>
      </c>
      <c r="AP43" s="6">
        <f>SUM([3]ide!$F$1801)</f>
        <v>197254.91399999999</v>
      </c>
      <c r="AQ43" s="7">
        <f t="shared" si="60"/>
        <v>2.1137757363713421E-2</v>
      </c>
      <c r="AR43" s="8">
        <f>SUM([3]ide!$J$1801)</f>
        <v>114854.914</v>
      </c>
      <c r="AS43" s="7">
        <f t="shared" si="61"/>
        <v>58.226642708632347</v>
      </c>
      <c r="AT43" s="8">
        <f t="shared" si="85"/>
        <v>82399.999999999985</v>
      </c>
      <c r="AU43" s="7">
        <f t="shared" si="63"/>
        <v>41.773357291367653</v>
      </c>
      <c r="AV43" s="8">
        <f>SUM([3]ide!$N$1801)</f>
        <v>197254.91399999999</v>
      </c>
      <c r="AW43" s="9">
        <f t="shared" si="71"/>
        <v>100</v>
      </c>
      <c r="AX43" s="6"/>
      <c r="AY43" s="7">
        <f t="shared" si="65"/>
        <v>0</v>
      </c>
      <c r="AZ43" s="8"/>
      <c r="BA43" s="7">
        <f t="shared" si="72"/>
        <v>0</v>
      </c>
      <c r="BB43" s="8"/>
      <c r="BC43" s="7">
        <f t="shared" si="73"/>
        <v>0</v>
      </c>
      <c r="BD43" s="8"/>
      <c r="BE43" s="9">
        <f t="shared" si="74"/>
        <v>0</v>
      </c>
      <c r="BF43" s="6">
        <f>SUM([3]ide!$D$432)</f>
        <v>5187296</v>
      </c>
      <c r="BG43" s="8">
        <f t="shared" si="86"/>
        <v>5104144.75</v>
      </c>
      <c r="BH43" s="10">
        <f t="shared" si="94"/>
        <v>3.5965830644084137E-2</v>
      </c>
      <c r="BI43" s="6">
        <f>SUM([2]bomb!$H$320)</f>
        <v>0</v>
      </c>
      <c r="BJ43" s="8">
        <f t="shared" si="87"/>
        <v>5104144.75</v>
      </c>
      <c r="BK43" s="8">
        <f t="shared" si="88"/>
        <v>1099898.6970000002</v>
      </c>
      <c r="BL43" s="7">
        <f t="shared" si="89"/>
        <v>21.549128225644466</v>
      </c>
      <c r="BM43" s="8">
        <f t="shared" si="90"/>
        <v>1642823.9000000001</v>
      </c>
      <c r="BN43" s="7">
        <f t="shared" si="91"/>
        <v>32.186075835721553</v>
      </c>
      <c r="BO43" s="11">
        <f t="shared" si="92"/>
        <v>2742722.5970000001</v>
      </c>
      <c r="BP43" s="9">
        <f t="shared" si="93"/>
        <v>53.735204061366012</v>
      </c>
    </row>
    <row r="44" spans="1:68" ht="25.5" x14ac:dyDescent="0.2">
      <c r="A44" s="70" t="s">
        <v>60</v>
      </c>
      <c r="B44" s="6">
        <f>SUM([3]com!$F$434)</f>
        <v>9821121.2300000004</v>
      </c>
      <c r="C44" s="7">
        <f t="shared" si="44"/>
        <v>0.28966522265306499</v>
      </c>
      <c r="D44" s="8">
        <f>SUM([3]com!$J$434)</f>
        <v>6642040.2069999995</v>
      </c>
      <c r="E44" s="7">
        <f t="shared" si="9"/>
        <v>67.630162090973386</v>
      </c>
      <c r="F44" s="8">
        <f t="shared" si="75"/>
        <v>3179081.023000001</v>
      </c>
      <c r="G44" s="7">
        <f t="shared" si="11"/>
        <v>32.369837909026614</v>
      </c>
      <c r="H44" s="8">
        <f>SUM([3]com!$N$434)</f>
        <v>9821121.2300000004</v>
      </c>
      <c r="I44" s="9">
        <f t="shared" si="12"/>
        <v>100</v>
      </c>
      <c r="J44" s="6">
        <f>SUM([3]com!$F$885)</f>
        <v>7325010.0360000003</v>
      </c>
      <c r="K44" s="7">
        <f t="shared" si="45"/>
        <v>0.13921588993366205</v>
      </c>
      <c r="L44" s="8">
        <f>SUM([3]com!$J$885)</f>
        <v>435979.04600000003</v>
      </c>
      <c r="M44" s="7">
        <f t="shared" si="46"/>
        <v>5.9519242138550972</v>
      </c>
      <c r="N44" s="8">
        <f t="shared" si="76"/>
        <v>3242788.3089999999</v>
      </c>
      <c r="O44" s="7">
        <f t="shared" si="48"/>
        <v>44.270086908588091</v>
      </c>
      <c r="P44" s="8">
        <f>SUM([3]com!$N$885)</f>
        <v>3678767.355</v>
      </c>
      <c r="Q44" s="9">
        <f t="shared" si="49"/>
        <v>50.222011122443192</v>
      </c>
      <c r="R44" s="6">
        <f t="shared" si="77"/>
        <v>17146131.266000003</v>
      </c>
      <c r="S44" s="7">
        <f t="shared" si="50"/>
        <v>0.19817244605118395</v>
      </c>
      <c r="T44" s="6">
        <f t="shared" si="78"/>
        <v>7078019.2529999996</v>
      </c>
      <c r="U44" s="7">
        <f t="shared" si="79"/>
        <v>41.28056144674099</v>
      </c>
      <c r="V44" s="8">
        <f t="shared" si="80"/>
        <v>6421869.3320000013</v>
      </c>
      <c r="W44" s="7">
        <f t="shared" si="81"/>
        <v>37.453751125388123</v>
      </c>
      <c r="X44" s="6">
        <f t="shared" si="82"/>
        <v>13499888.585000001</v>
      </c>
      <c r="Y44" s="9">
        <f t="shared" si="83"/>
        <v>78.734312572129113</v>
      </c>
      <c r="Z44" s="6"/>
      <c r="AA44" s="7">
        <f t="shared" si="69"/>
        <v>0</v>
      </c>
      <c r="AB44" s="8"/>
      <c r="AC44" s="7">
        <f t="shared" si="33"/>
        <v>0</v>
      </c>
      <c r="AD44" s="8"/>
      <c r="AE44" s="7">
        <f t="shared" si="34"/>
        <v>0</v>
      </c>
      <c r="AF44" s="8"/>
      <c r="AG44" s="9">
        <f t="shared" si="35"/>
        <v>0</v>
      </c>
      <c r="AH44" s="6">
        <f>SUM([3]com!$F$1787)</f>
        <v>210000</v>
      </c>
      <c r="AI44" s="7">
        <f t="shared" si="55"/>
        <v>2.6616838181781229E-2</v>
      </c>
      <c r="AJ44" s="8">
        <f>SUM([3]com!$J$1787)</f>
        <v>149228.217</v>
      </c>
      <c r="AK44" s="7">
        <f t="shared" si="56"/>
        <v>71.061055714285715</v>
      </c>
      <c r="AL44" s="8">
        <f t="shared" si="84"/>
        <v>60303.478999999992</v>
      </c>
      <c r="AM44" s="7">
        <f t="shared" si="58"/>
        <v>28.715942380952374</v>
      </c>
      <c r="AN44" s="8">
        <f>SUM([3]com!$N$1787)</f>
        <v>209531.696</v>
      </c>
      <c r="AO44" s="9">
        <f t="shared" si="70"/>
        <v>99.776998095238085</v>
      </c>
      <c r="AP44" s="6">
        <f>SUM([3]com!$F$1801)</f>
        <v>3256868.7340000002</v>
      </c>
      <c r="AQ44" s="7">
        <f t="shared" si="60"/>
        <v>0.3490047455281976</v>
      </c>
      <c r="AR44" s="8">
        <f>SUM([3]com!$J$1801)</f>
        <v>2775173.4419999998</v>
      </c>
      <c r="AS44" s="7">
        <f t="shared" si="61"/>
        <v>85.209864709272608</v>
      </c>
      <c r="AT44" s="8">
        <f t="shared" si="85"/>
        <v>438351.9879999999</v>
      </c>
      <c r="AU44" s="7">
        <f t="shared" si="63"/>
        <v>13.459307813785529</v>
      </c>
      <c r="AV44" s="8">
        <f>SUM([3]com!$N$1801)</f>
        <v>3213525.4299999997</v>
      </c>
      <c r="AW44" s="9">
        <f t="shared" si="71"/>
        <v>98.669172523058151</v>
      </c>
      <c r="AX44" s="6"/>
      <c r="AY44" s="7">
        <f t="shared" si="65"/>
        <v>0</v>
      </c>
      <c r="AZ44" s="8"/>
      <c r="BA44" s="7">
        <f t="shared" si="72"/>
        <v>0</v>
      </c>
      <c r="BB44" s="8"/>
      <c r="BC44" s="7">
        <f t="shared" si="73"/>
        <v>0</v>
      </c>
      <c r="BD44" s="8"/>
      <c r="BE44" s="9">
        <f t="shared" si="74"/>
        <v>0</v>
      </c>
      <c r="BF44" s="6">
        <f>SUM([3]com!$D$432)</f>
        <v>20613000</v>
      </c>
      <c r="BG44" s="8">
        <f t="shared" si="86"/>
        <v>20613000.000000004</v>
      </c>
      <c r="BH44" s="10">
        <f t="shared" si="94"/>
        <v>0.14524738293648634</v>
      </c>
      <c r="BI44" s="6">
        <f>SUM([2]bomb!$H$320)</f>
        <v>0</v>
      </c>
      <c r="BJ44" s="8">
        <f t="shared" si="87"/>
        <v>20613000.000000004</v>
      </c>
      <c r="BK44" s="8">
        <f t="shared" si="88"/>
        <v>10002420.912</v>
      </c>
      <c r="BL44" s="7">
        <f t="shared" si="89"/>
        <v>48.524818861883276</v>
      </c>
      <c r="BM44" s="8">
        <f t="shared" si="90"/>
        <v>6920524.7990000015</v>
      </c>
      <c r="BN44" s="7">
        <f t="shared" si="91"/>
        <v>33.573593358560132</v>
      </c>
      <c r="BO44" s="11">
        <f t="shared" si="92"/>
        <v>16922945.711000003</v>
      </c>
      <c r="BP44" s="9">
        <f t="shared" si="93"/>
        <v>82.098412220443407</v>
      </c>
    </row>
    <row r="45" spans="1:68" x14ac:dyDescent="0.2">
      <c r="A45" s="70" t="s">
        <v>61</v>
      </c>
      <c r="B45" s="6">
        <f>SUM([3]cat!$F$434)</f>
        <v>6580974.5209999997</v>
      </c>
      <c r="C45" s="7">
        <f t="shared" si="44"/>
        <v>0.19409998158627889</v>
      </c>
      <c r="D45" s="8">
        <f>SUM([3]cat!$J$434)</f>
        <v>3242005.8590000002</v>
      </c>
      <c r="E45" s="7">
        <f t="shared" si="9"/>
        <v>49.263309691516135</v>
      </c>
      <c r="F45" s="8">
        <f t="shared" si="75"/>
        <v>3338968.6619999995</v>
      </c>
      <c r="G45" s="7">
        <f t="shared" si="11"/>
        <v>50.736690308483865</v>
      </c>
      <c r="H45" s="8">
        <f>SUM([3]cat!$N$434)</f>
        <v>6580974.5209999997</v>
      </c>
      <c r="I45" s="9">
        <f t="shared" si="12"/>
        <v>100</v>
      </c>
      <c r="J45" s="6">
        <f>SUM([3]cat!$F$885)</f>
        <v>8919025.4789999984</v>
      </c>
      <c r="K45" s="7">
        <f t="shared" si="45"/>
        <v>0.16951104002555542</v>
      </c>
      <c r="L45" s="8">
        <f>SUM([3]cat!$J$885)</f>
        <v>43566.591999999997</v>
      </c>
      <c r="M45" s="7">
        <f t="shared" si="46"/>
        <v>0.48846807425966321</v>
      </c>
      <c r="N45" s="8">
        <f t="shared" si="76"/>
        <v>3890407.1609999994</v>
      </c>
      <c r="O45" s="7">
        <f t="shared" si="48"/>
        <v>43.619195506953432</v>
      </c>
      <c r="P45" s="8">
        <f>SUM([3]cat!$N$885)</f>
        <v>3933973.7529999996</v>
      </c>
      <c r="Q45" s="9">
        <f t="shared" si="49"/>
        <v>44.107663581213103</v>
      </c>
      <c r="R45" s="6">
        <f t="shared" si="77"/>
        <v>15499999.999999998</v>
      </c>
      <c r="S45" s="7">
        <f t="shared" si="50"/>
        <v>0.17914670464959861</v>
      </c>
      <c r="T45" s="6">
        <f t="shared" si="78"/>
        <v>3285572.4510000004</v>
      </c>
      <c r="U45" s="7">
        <f t="shared" si="79"/>
        <v>21.197241619354841</v>
      </c>
      <c r="V45" s="8">
        <f t="shared" si="80"/>
        <v>7229375.8229999999</v>
      </c>
      <c r="W45" s="7">
        <f t="shared" si="81"/>
        <v>46.641134341935484</v>
      </c>
      <c r="X45" s="6">
        <f t="shared" si="82"/>
        <v>10514948.274</v>
      </c>
      <c r="Y45" s="9">
        <f t="shared" si="83"/>
        <v>67.838375961290325</v>
      </c>
      <c r="Z45" s="6"/>
      <c r="AA45" s="7">
        <f t="shared" si="69"/>
        <v>0</v>
      </c>
      <c r="AB45" s="8"/>
      <c r="AC45" s="7">
        <f t="shared" si="33"/>
        <v>0</v>
      </c>
      <c r="AD45" s="8"/>
      <c r="AE45" s="7">
        <f t="shared" si="34"/>
        <v>0</v>
      </c>
      <c r="AF45" s="8"/>
      <c r="AG45" s="9">
        <f t="shared" si="35"/>
        <v>0</v>
      </c>
      <c r="AH45" s="6">
        <f>SUM([3]cat!$F$1787)</f>
        <v>298911</v>
      </c>
      <c r="AI45" s="7">
        <f t="shared" si="55"/>
        <v>3.7886027227401947E-2</v>
      </c>
      <c r="AJ45" s="8">
        <f>SUM([3]cat!$J$1787)</f>
        <v>18598.686000000002</v>
      </c>
      <c r="AK45" s="7">
        <f t="shared" si="56"/>
        <v>6.222148398687235</v>
      </c>
      <c r="AL45" s="8">
        <f t="shared" si="84"/>
        <v>0</v>
      </c>
      <c r="AM45" s="7">
        <f t="shared" si="58"/>
        <v>0</v>
      </c>
      <c r="AN45" s="8">
        <f>SUM([3]cat!$N$1787)</f>
        <v>18598.686000000002</v>
      </c>
      <c r="AO45" s="9">
        <f t="shared" si="70"/>
        <v>6.222148398687235</v>
      </c>
      <c r="AP45" s="6">
        <f>SUM([3]cat!$F$1801)</f>
        <v>4972684.4289999995</v>
      </c>
      <c r="AQ45" s="7">
        <f t="shared" si="60"/>
        <v>0.53287086630712688</v>
      </c>
      <c r="AR45" s="8">
        <f>SUM([3]cat!$J$1801)</f>
        <v>4084381.9839999997</v>
      </c>
      <c r="AS45" s="7">
        <f t="shared" si="61"/>
        <v>82.13635999462295</v>
      </c>
      <c r="AT45" s="8">
        <f t="shared" si="85"/>
        <v>888302.43500000006</v>
      </c>
      <c r="AU45" s="7">
        <f t="shared" si="63"/>
        <v>17.863639804278442</v>
      </c>
      <c r="AV45" s="8">
        <f>SUM([3]cat!$N$1801)</f>
        <v>4972684.4189999998</v>
      </c>
      <c r="AW45" s="9">
        <f t="shared" si="71"/>
        <v>99.999999798901385</v>
      </c>
      <c r="AX45" s="6"/>
      <c r="AY45" s="7">
        <f t="shared" si="65"/>
        <v>0</v>
      </c>
      <c r="AZ45" s="8"/>
      <c r="BA45" s="7">
        <f t="shared" si="72"/>
        <v>0</v>
      </c>
      <c r="BB45" s="8"/>
      <c r="BC45" s="7">
        <f t="shared" si="73"/>
        <v>0</v>
      </c>
      <c r="BD45" s="8"/>
      <c r="BE45" s="9">
        <f t="shared" si="74"/>
        <v>0</v>
      </c>
      <c r="BF45" s="6">
        <f>SUM([3]cat!$D$432)</f>
        <v>23088211.009999998</v>
      </c>
      <c r="BG45" s="8">
        <f t="shared" si="86"/>
        <v>20771595.428999998</v>
      </c>
      <c r="BH45" s="10">
        <f t="shared" si="94"/>
        <v>0.14636490930372731</v>
      </c>
      <c r="BI45" s="6">
        <f>SUM([2]bomb!$H$320)</f>
        <v>0</v>
      </c>
      <c r="BJ45" s="8">
        <f t="shared" si="87"/>
        <v>20771595.428999998</v>
      </c>
      <c r="BK45" s="8">
        <f t="shared" si="88"/>
        <v>7388553.1210000003</v>
      </c>
      <c r="BL45" s="7">
        <f t="shared" si="89"/>
        <v>35.570465187688789</v>
      </c>
      <c r="BM45" s="8">
        <f t="shared" si="90"/>
        <v>8117678.2579999994</v>
      </c>
      <c r="BN45" s="7">
        <f t="shared" si="91"/>
        <v>39.080668048572747</v>
      </c>
      <c r="BO45" s="11">
        <f t="shared" si="92"/>
        <v>15506231.379000001</v>
      </c>
      <c r="BP45" s="9">
        <f t="shared" si="93"/>
        <v>74.651133236261543</v>
      </c>
    </row>
    <row r="46" spans="1:68" ht="25.5" x14ac:dyDescent="0.2">
      <c r="A46" s="70" t="s">
        <v>62</v>
      </c>
      <c r="B46" s="6">
        <f>SUM([3]via!$F$434)</f>
        <v>14805512.84799999</v>
      </c>
      <c r="C46" s="7">
        <f t="shared" si="44"/>
        <v>0.43667541364915341</v>
      </c>
      <c r="D46" s="8">
        <f>SUM([3]via!$J$434)</f>
        <v>4999792.8209999995</v>
      </c>
      <c r="E46" s="7">
        <f t="shared" si="9"/>
        <v>33.769805020130725</v>
      </c>
      <c r="F46" s="8">
        <f t="shared" si="75"/>
        <v>9805648.6130000018</v>
      </c>
      <c r="G46" s="7">
        <f t="shared" si="11"/>
        <v>66.229712632511763</v>
      </c>
      <c r="H46" s="8">
        <f>SUM([3]via!$N$434)</f>
        <v>14805441.434</v>
      </c>
      <c r="I46" s="9">
        <f t="shared" si="12"/>
        <v>99.999517652642481</v>
      </c>
      <c r="J46" s="6">
        <f>SUM([3]via!$F$885)</f>
        <v>127316461.92300001</v>
      </c>
      <c r="K46" s="7">
        <f t="shared" si="45"/>
        <v>2.4197201727650501</v>
      </c>
      <c r="L46" s="8">
        <f>SUM([3]via!$J$885)</f>
        <v>311719.32200000004</v>
      </c>
      <c r="M46" s="7">
        <f t="shared" si="46"/>
        <v>0.24483819082918393</v>
      </c>
      <c r="N46" s="8">
        <f t="shared" si="76"/>
        <v>2595948.1839999999</v>
      </c>
      <c r="O46" s="7">
        <f t="shared" si="48"/>
        <v>2.0389729221112103</v>
      </c>
      <c r="P46" s="8">
        <f>SUM([3]via!$N$885)</f>
        <v>2907667.5060000001</v>
      </c>
      <c r="Q46" s="9">
        <f t="shared" si="49"/>
        <v>2.2838111129403944</v>
      </c>
      <c r="R46" s="6">
        <f t="shared" si="77"/>
        <v>142121974.771</v>
      </c>
      <c r="S46" s="7">
        <f t="shared" si="50"/>
        <v>1.6426247379689063</v>
      </c>
      <c r="T46" s="6">
        <f t="shared" si="78"/>
        <v>5311512.1429999992</v>
      </c>
      <c r="U46" s="7">
        <f t="shared" si="79"/>
        <v>3.7372912609456743</v>
      </c>
      <c r="V46" s="8">
        <f t="shared" si="80"/>
        <v>12401596.797000002</v>
      </c>
      <c r="W46" s="7">
        <f t="shared" si="81"/>
        <v>8.7260234154377567</v>
      </c>
      <c r="X46" s="6">
        <f t="shared" si="82"/>
        <v>17713108.940000001</v>
      </c>
      <c r="Y46" s="9">
        <f t="shared" si="83"/>
        <v>12.463314676383431</v>
      </c>
      <c r="Z46" s="6"/>
      <c r="AA46" s="7">
        <f t="shared" si="69"/>
        <v>0</v>
      </c>
      <c r="AB46" s="8"/>
      <c r="AC46" s="7">
        <f t="shared" si="33"/>
        <v>0</v>
      </c>
      <c r="AD46" s="8"/>
      <c r="AE46" s="7">
        <f t="shared" si="34"/>
        <v>0</v>
      </c>
      <c r="AF46" s="8"/>
      <c r="AG46" s="9">
        <f t="shared" si="35"/>
        <v>0</v>
      </c>
      <c r="AH46" s="6">
        <f>SUM([3]via!$F$1787)</f>
        <v>8705000</v>
      </c>
      <c r="AI46" s="7">
        <f t="shared" si="55"/>
        <v>1.1033313160590743</v>
      </c>
      <c r="AJ46" s="8">
        <f>SUM([3]via!$J$1787)</f>
        <v>4241448.4749999996</v>
      </c>
      <c r="AK46" s="7">
        <f t="shared" si="56"/>
        <v>48.724278862722571</v>
      </c>
      <c r="AL46" s="8">
        <f t="shared" si="84"/>
        <v>115588.59100000001</v>
      </c>
      <c r="AM46" s="7">
        <f t="shared" si="58"/>
        <v>1.3278413670304423</v>
      </c>
      <c r="AN46" s="8">
        <f>SUM([3]via!$N$1787)</f>
        <v>4357037.0659999996</v>
      </c>
      <c r="AO46" s="9">
        <f t="shared" si="70"/>
        <v>50.052120229753015</v>
      </c>
      <c r="AP46" s="6">
        <f>SUM([3]via!$F$1801)</f>
        <v>34935943.151000001</v>
      </c>
      <c r="AQ46" s="7">
        <f t="shared" si="60"/>
        <v>3.7437216372633619</v>
      </c>
      <c r="AR46" s="8">
        <f>SUM([3]via!$J$1801)</f>
        <v>23617117.134000003</v>
      </c>
      <c r="AS46" s="7">
        <f t="shared" si="61"/>
        <v>67.601200952045843</v>
      </c>
      <c r="AT46" s="8">
        <f t="shared" si="85"/>
        <v>11260559.476999998</v>
      </c>
      <c r="AU46" s="7">
        <f t="shared" si="63"/>
        <v>32.232017977386931</v>
      </c>
      <c r="AV46" s="8">
        <f>SUM([3]via!$N$1801)</f>
        <v>34877676.611000001</v>
      </c>
      <c r="AW46" s="9">
        <f t="shared" si="71"/>
        <v>99.833218929432761</v>
      </c>
      <c r="AX46" s="6"/>
      <c r="AY46" s="7">
        <f t="shared" si="65"/>
        <v>0</v>
      </c>
      <c r="AZ46" s="8"/>
      <c r="BA46" s="7">
        <f t="shared" si="72"/>
        <v>0</v>
      </c>
      <c r="BB46" s="8"/>
      <c r="BC46" s="7">
        <f t="shared" si="73"/>
        <v>0</v>
      </c>
      <c r="BD46" s="8"/>
      <c r="BE46" s="9">
        <f t="shared" si="74"/>
        <v>0</v>
      </c>
      <c r="BF46" s="6">
        <f>SUM([3]via!$D$432)</f>
        <v>189839363</v>
      </c>
      <c r="BG46" s="8">
        <f t="shared" si="86"/>
        <v>185762917.92199999</v>
      </c>
      <c r="BH46" s="10">
        <f t="shared" si="94"/>
        <v>1.3089592817549998</v>
      </c>
      <c r="BI46" s="6">
        <f>SUM([2]bomb!$H$320)</f>
        <v>0</v>
      </c>
      <c r="BJ46" s="8">
        <f t="shared" si="87"/>
        <v>185762917.92199999</v>
      </c>
      <c r="BK46" s="8">
        <f t="shared" si="88"/>
        <v>33170077.752000004</v>
      </c>
      <c r="BL46" s="7">
        <f t="shared" si="89"/>
        <v>17.856135187286299</v>
      </c>
      <c r="BM46" s="8">
        <f t="shared" si="90"/>
        <v>23777744.865000002</v>
      </c>
      <c r="BN46" s="7">
        <f t="shared" si="91"/>
        <v>12.800049186880258</v>
      </c>
      <c r="BO46" s="11">
        <f t="shared" si="92"/>
        <v>56947822.617000006</v>
      </c>
      <c r="BP46" s="9">
        <f t="shared" si="93"/>
        <v>30.656184374166557</v>
      </c>
    </row>
    <row r="47" spans="1:68" x14ac:dyDescent="0.2">
      <c r="A47" s="70" t="s">
        <v>63</v>
      </c>
      <c r="B47" s="6">
        <f>SUM([3]art!$F$434)</f>
        <v>12765143.594000001</v>
      </c>
      <c r="C47" s="7">
        <f t="shared" si="44"/>
        <v>0.37649653993267701</v>
      </c>
      <c r="D47" s="8">
        <f>SUM([3]art!$J$434)</f>
        <v>9209361.8390000015</v>
      </c>
      <c r="E47" s="7">
        <f t="shared" si="9"/>
        <v>72.144600420544251</v>
      </c>
      <c r="F47" s="8">
        <f t="shared" si="75"/>
        <v>3508541.9969999995</v>
      </c>
      <c r="G47" s="7">
        <f t="shared" si="11"/>
        <v>27.485331215930227</v>
      </c>
      <c r="H47" s="8">
        <f>SUM([3]art!$N$434)</f>
        <v>12717903.836000001</v>
      </c>
      <c r="I47" s="9">
        <f t="shared" si="12"/>
        <v>99.629931636474481</v>
      </c>
      <c r="J47" s="6">
        <f>SUM([3]art!$F$885)</f>
        <v>15999156.458999999</v>
      </c>
      <c r="K47" s="7">
        <f t="shared" si="45"/>
        <v>0.30407286729724037</v>
      </c>
      <c r="L47" s="8">
        <f>SUM([3]art!$J$885)</f>
        <v>2652246.1159999999</v>
      </c>
      <c r="M47" s="7">
        <f t="shared" si="46"/>
        <v>16.577412207929456</v>
      </c>
      <c r="N47" s="8">
        <f t="shared" si="76"/>
        <v>3807141.003</v>
      </c>
      <c r="O47" s="7">
        <f t="shared" si="48"/>
        <v>23.795885819082486</v>
      </c>
      <c r="P47" s="8">
        <f>SUM([3]art!$N$885)</f>
        <v>6459387.1189999999</v>
      </c>
      <c r="Q47" s="9">
        <f t="shared" si="49"/>
        <v>40.373298027011941</v>
      </c>
      <c r="R47" s="6">
        <f t="shared" si="77"/>
        <v>28764300.052999999</v>
      </c>
      <c r="S47" s="7">
        <f t="shared" si="50"/>
        <v>0.33245352039014359</v>
      </c>
      <c r="T47" s="6">
        <f t="shared" si="78"/>
        <v>11861607.955000002</v>
      </c>
      <c r="U47" s="7">
        <f t="shared" si="79"/>
        <v>41.2372556715938</v>
      </c>
      <c r="V47" s="8">
        <f t="shared" si="80"/>
        <v>7315683</v>
      </c>
      <c r="W47" s="7">
        <f t="shared" si="81"/>
        <v>25.433203611839684</v>
      </c>
      <c r="X47" s="6">
        <f t="shared" si="82"/>
        <v>19177290.955000002</v>
      </c>
      <c r="Y47" s="9">
        <f t="shared" si="83"/>
        <v>66.670459283433487</v>
      </c>
      <c r="Z47" s="6"/>
      <c r="AA47" s="7">
        <f t="shared" si="69"/>
        <v>0</v>
      </c>
      <c r="AB47" s="8"/>
      <c r="AC47" s="7">
        <f t="shared" si="33"/>
        <v>0</v>
      </c>
      <c r="AD47" s="8"/>
      <c r="AE47" s="7">
        <f t="shared" si="34"/>
        <v>0</v>
      </c>
      <c r="AF47" s="8"/>
      <c r="AG47" s="9">
        <f t="shared" si="35"/>
        <v>0</v>
      </c>
      <c r="AH47" s="6">
        <f>SUM([3]art!$F$1787)</f>
        <v>0</v>
      </c>
      <c r="AI47" s="7">
        <f t="shared" si="55"/>
        <v>0</v>
      </c>
      <c r="AJ47" s="8">
        <f>SUM([3]art!$J$1787)</f>
        <v>0</v>
      </c>
      <c r="AK47" s="7">
        <f t="shared" si="56"/>
        <v>0</v>
      </c>
      <c r="AL47" s="8">
        <f t="shared" si="84"/>
        <v>0</v>
      </c>
      <c r="AM47" s="7">
        <f t="shared" si="58"/>
        <v>0</v>
      </c>
      <c r="AN47" s="8">
        <f>SUM([3]art!$N$1787)</f>
        <v>0</v>
      </c>
      <c r="AO47" s="9">
        <f t="shared" si="70"/>
        <v>0</v>
      </c>
      <c r="AP47" s="6">
        <f>SUM([3]art!$F$1801)</f>
        <v>510328.66500000004</v>
      </c>
      <c r="AQ47" s="7">
        <f t="shared" si="60"/>
        <v>5.4686614785767966E-2</v>
      </c>
      <c r="AR47" s="8">
        <f>SUM([3]art!$J$1801)</f>
        <v>500432.88800000004</v>
      </c>
      <c r="AS47" s="7">
        <f t="shared" si="61"/>
        <v>98.060901203737004</v>
      </c>
      <c r="AT47" s="8">
        <f t="shared" si="85"/>
        <v>5182.7639999999083</v>
      </c>
      <c r="AU47" s="7">
        <f t="shared" si="63"/>
        <v>1.0155737577468646</v>
      </c>
      <c r="AV47" s="8">
        <f>SUM([3]art!$N$1801)</f>
        <v>505615.65199999994</v>
      </c>
      <c r="AW47" s="9">
        <f t="shared" si="71"/>
        <v>99.076474961483868</v>
      </c>
      <c r="AX47" s="6"/>
      <c r="AY47" s="7">
        <f t="shared" si="65"/>
        <v>0</v>
      </c>
      <c r="AZ47" s="8"/>
      <c r="BA47" s="7">
        <f t="shared" si="72"/>
        <v>0</v>
      </c>
      <c r="BB47" s="8"/>
      <c r="BC47" s="7">
        <f t="shared" si="73"/>
        <v>0</v>
      </c>
      <c r="BD47" s="8"/>
      <c r="BE47" s="9">
        <f t="shared" si="74"/>
        <v>0</v>
      </c>
      <c r="BF47" s="6">
        <f>SUM([3]art!$D$432)</f>
        <v>28649966.002999999</v>
      </c>
      <c r="BG47" s="8">
        <f t="shared" si="86"/>
        <v>29274628.717999998</v>
      </c>
      <c r="BH47" s="10">
        <f t="shared" si="94"/>
        <v>0.20628065821213823</v>
      </c>
      <c r="BI47" s="6">
        <f>SUM([2]bomb!$H$320)</f>
        <v>0</v>
      </c>
      <c r="BJ47" s="8">
        <f t="shared" si="87"/>
        <v>29274628.717999998</v>
      </c>
      <c r="BK47" s="8">
        <f t="shared" si="88"/>
        <v>12362040.843000002</v>
      </c>
      <c r="BL47" s="7">
        <f t="shared" si="89"/>
        <v>42.22783134871662</v>
      </c>
      <c r="BM47" s="8">
        <f t="shared" si="90"/>
        <v>7320865.7639999995</v>
      </c>
      <c r="BN47" s="7">
        <f t="shared" si="91"/>
        <v>25.007544363828742</v>
      </c>
      <c r="BO47" s="11">
        <f t="shared" si="92"/>
        <v>19682906.607000001</v>
      </c>
      <c r="BP47" s="9">
        <f t="shared" si="93"/>
        <v>67.235375712545363</v>
      </c>
    </row>
    <row r="48" spans="1:68" s="24" customFormat="1" x14ac:dyDescent="0.2">
      <c r="A48" s="70" t="s">
        <v>64</v>
      </c>
      <c r="B48" s="6">
        <f>SUM([3]ues!$F$434)</f>
        <v>5482253.1140000001</v>
      </c>
      <c r="C48" s="20">
        <f t="shared" si="44"/>
        <v>0.16169417235747419</v>
      </c>
      <c r="D48" s="8">
        <f>SUM([3]ues!$J$434)</f>
        <v>3824701.1629999997</v>
      </c>
      <c r="E48" s="20">
        <f t="shared" si="9"/>
        <v>69.765132755962711</v>
      </c>
      <c r="F48" s="8">
        <f t="shared" si="75"/>
        <v>1657551.9510000004</v>
      </c>
      <c r="G48" s="20">
        <f t="shared" si="11"/>
        <v>30.234867244037289</v>
      </c>
      <c r="H48" s="8">
        <f>SUM([3]ues!$N$434)</f>
        <v>5482253.1140000001</v>
      </c>
      <c r="I48" s="22">
        <f t="shared" si="12"/>
        <v>100</v>
      </c>
      <c r="J48" s="6">
        <f>SUM([3]ues!$F$885)</f>
        <v>16006898.164000001</v>
      </c>
      <c r="K48" s="20">
        <f t="shared" si="45"/>
        <v>0.30422000270673227</v>
      </c>
      <c r="L48" s="8">
        <f>SUM([3]ues!$J$885)</f>
        <v>259172.90100000001</v>
      </c>
      <c r="M48" s="20">
        <f t="shared" si="46"/>
        <v>1.6191325661263201</v>
      </c>
      <c r="N48" s="8">
        <f t="shared" si="76"/>
        <v>1447123.736</v>
      </c>
      <c r="O48" s="20">
        <f t="shared" si="48"/>
        <v>9.040625617614193</v>
      </c>
      <c r="P48" s="8">
        <f>SUM([3]ues!$N$885)</f>
        <v>1706296.6370000001</v>
      </c>
      <c r="Q48" s="22">
        <f t="shared" si="49"/>
        <v>10.659758183740514</v>
      </c>
      <c r="R48" s="6">
        <f t="shared" si="77"/>
        <v>21489151.278000001</v>
      </c>
      <c r="S48" s="7">
        <f t="shared" si="50"/>
        <v>0.24836842820454264</v>
      </c>
      <c r="T48" s="6">
        <f t="shared" si="78"/>
        <v>4083874.0639999998</v>
      </c>
      <c r="U48" s="7">
        <f t="shared" si="79"/>
        <v>19.004352527319014</v>
      </c>
      <c r="V48" s="8">
        <f t="shared" si="80"/>
        <v>3104675.6870000004</v>
      </c>
      <c r="W48" s="7">
        <f t="shared" si="81"/>
        <v>14.44764219319579</v>
      </c>
      <c r="X48" s="6">
        <f t="shared" si="82"/>
        <v>7188549.7510000002</v>
      </c>
      <c r="Y48" s="9">
        <f t="shared" si="83"/>
        <v>33.451994720514804</v>
      </c>
      <c r="Z48" s="6"/>
      <c r="AA48" s="20">
        <f t="shared" si="69"/>
        <v>0</v>
      </c>
      <c r="AB48" s="8"/>
      <c r="AC48" s="20">
        <f t="shared" si="33"/>
        <v>0</v>
      </c>
      <c r="AD48" s="8"/>
      <c r="AE48" s="20">
        <f t="shared" si="34"/>
        <v>0</v>
      </c>
      <c r="AF48" s="8"/>
      <c r="AG48" s="22">
        <f t="shared" si="35"/>
        <v>0</v>
      </c>
      <c r="AH48" s="6">
        <f>SUM([3]ues!$F$1787)</f>
        <v>3272739</v>
      </c>
      <c r="AI48" s="20">
        <f t="shared" si="55"/>
        <v>0.41480935416287873</v>
      </c>
      <c r="AJ48" s="8">
        <f>SUM([3]ues!$J$1787)</f>
        <v>439216.33199999999</v>
      </c>
      <c r="AK48" s="20">
        <f t="shared" si="56"/>
        <v>13.420450943384118</v>
      </c>
      <c r="AL48" s="8">
        <f t="shared" si="84"/>
        <v>1585534.4610000001</v>
      </c>
      <c r="AM48" s="20">
        <f t="shared" si="58"/>
        <v>48.446712707612797</v>
      </c>
      <c r="AN48" s="8">
        <f>SUM([3]ues!$N$1787)</f>
        <v>2024750.7930000001</v>
      </c>
      <c r="AO48" s="22">
        <f t="shared" si="70"/>
        <v>61.867163650996915</v>
      </c>
      <c r="AP48" s="6">
        <f>SUM([3]ues!$F$1801)</f>
        <v>4658381.5539999995</v>
      </c>
      <c r="AQ48" s="20">
        <f t="shared" si="60"/>
        <v>0.49919029645086688</v>
      </c>
      <c r="AR48" s="8">
        <f>SUM([3]ues!$J$1801)</f>
        <v>2385155.2970000003</v>
      </c>
      <c r="AS48" s="20">
        <f t="shared" si="61"/>
        <v>51.201372608732441</v>
      </c>
      <c r="AT48" s="8">
        <f t="shared" si="85"/>
        <v>2271656.966</v>
      </c>
      <c r="AU48" s="20">
        <f t="shared" si="63"/>
        <v>48.764939918873814</v>
      </c>
      <c r="AV48" s="8">
        <f>SUM([3]ues!$N$1801)</f>
        <v>4656812.2630000003</v>
      </c>
      <c r="AW48" s="22">
        <f t="shared" si="71"/>
        <v>99.966312527606249</v>
      </c>
      <c r="AX48" s="6"/>
      <c r="AY48" s="20">
        <f t="shared" si="65"/>
        <v>0</v>
      </c>
      <c r="AZ48" s="8"/>
      <c r="BA48" s="20">
        <f t="shared" si="72"/>
        <v>0</v>
      </c>
      <c r="BB48" s="8"/>
      <c r="BC48" s="20">
        <f t="shared" si="73"/>
        <v>0</v>
      </c>
      <c r="BD48" s="8"/>
      <c r="BE48" s="22">
        <f t="shared" si="74"/>
        <v>0</v>
      </c>
      <c r="BF48" s="6">
        <f>SUM([3]ues!$D$432)</f>
        <v>29611306</v>
      </c>
      <c r="BG48" s="8">
        <f t="shared" si="86"/>
        <v>29420271.832000002</v>
      </c>
      <c r="BH48" s="10">
        <f t="shared" si="94"/>
        <v>0.20730691742483026</v>
      </c>
      <c r="BI48" s="6">
        <f>SUM([2]bomb!$H$320)</f>
        <v>0</v>
      </c>
      <c r="BJ48" s="8">
        <f t="shared" si="87"/>
        <v>29420271.832000002</v>
      </c>
      <c r="BK48" s="8">
        <f t="shared" si="88"/>
        <v>6908245.693</v>
      </c>
      <c r="BL48" s="7">
        <f t="shared" si="89"/>
        <v>23.481243587579641</v>
      </c>
      <c r="BM48" s="8">
        <f t="shared" si="90"/>
        <v>6961867.1140000001</v>
      </c>
      <c r="BN48" s="7">
        <f t="shared" si="91"/>
        <v>23.663503701647237</v>
      </c>
      <c r="BO48" s="11">
        <f t="shared" si="92"/>
        <v>13870112.807</v>
      </c>
      <c r="BP48" s="22">
        <f>IF(OR(BO48=0,BG48=0),0,BO48/BG48)*100</f>
        <v>47.144747289226878</v>
      </c>
    </row>
    <row r="49" spans="1:70" s="17" customFormat="1" ht="15.75" x14ac:dyDescent="0.25">
      <c r="A49" s="257" t="s">
        <v>65</v>
      </c>
      <c r="B49" s="12">
        <f>SUM(B29:B48)</f>
        <v>1049234926.8940001</v>
      </c>
      <c r="C49" s="13">
        <f t="shared" si="44"/>
        <v>30.946249577465291</v>
      </c>
      <c r="D49" s="14">
        <f>SUM(D29:D48)</f>
        <v>747435946.76999986</v>
      </c>
      <c r="E49" s="13">
        <f t="shared" si="9"/>
        <v>71.23628156209007</v>
      </c>
      <c r="F49" s="14">
        <f t="shared" si="75"/>
        <v>301282062.85600019</v>
      </c>
      <c r="G49" s="13">
        <f t="shared" si="11"/>
        <v>28.714452324597222</v>
      </c>
      <c r="H49" s="14">
        <f>SUM(H29:H48)</f>
        <v>1048718009.626</v>
      </c>
      <c r="I49" s="15">
        <f t="shared" si="12"/>
        <v>99.950733886687303</v>
      </c>
      <c r="J49" s="12">
        <f>SUM(J29:J48)</f>
        <v>2210799573.1719999</v>
      </c>
      <c r="K49" s="13">
        <f t="shared" si="45"/>
        <v>42.017475543578925</v>
      </c>
      <c r="L49" s="14">
        <f>SUM(L29:L48)</f>
        <v>183165671.08500001</v>
      </c>
      <c r="M49" s="13">
        <f t="shared" si="46"/>
        <v>8.2850419055490612</v>
      </c>
      <c r="N49" s="14">
        <f t="shared" si="76"/>
        <v>247193998.93000016</v>
      </c>
      <c r="O49" s="13">
        <f t="shared" si="48"/>
        <v>11.181203485367622</v>
      </c>
      <c r="P49" s="14">
        <f>SUM(P29:P48)</f>
        <v>430359670.01500016</v>
      </c>
      <c r="Q49" s="15">
        <f t="shared" si="49"/>
        <v>19.466245390916683</v>
      </c>
      <c r="R49" s="12">
        <f>SUM(R29:R48)</f>
        <v>3260034500.065999</v>
      </c>
      <c r="S49" s="13">
        <f t="shared" si="50"/>
        <v>37.6789959826339</v>
      </c>
      <c r="T49" s="14">
        <f>SUM(T29:T48)</f>
        <v>930601617.85500002</v>
      </c>
      <c r="U49" s="13">
        <f t="shared" si="79"/>
        <v>28.545759802117431</v>
      </c>
      <c r="V49" s="14">
        <f t="shared" si="80"/>
        <v>548476061.78599954</v>
      </c>
      <c r="W49" s="13">
        <f t="shared" si="81"/>
        <v>16.824241024900065</v>
      </c>
      <c r="X49" s="14">
        <f>SUM(X29:X48)</f>
        <v>1479077679.6409996</v>
      </c>
      <c r="Y49" s="15">
        <f t="shared" si="83"/>
        <v>45.370000827017499</v>
      </c>
      <c r="Z49" s="12">
        <f>SUM(Z29:Z48)</f>
        <v>3468596</v>
      </c>
      <c r="AA49" s="13">
        <f t="shared" si="69"/>
        <v>8.8935448807600639E-2</v>
      </c>
      <c r="AB49" s="14">
        <f>SUM(AB29:AB48)</f>
        <v>1339086.9170000001</v>
      </c>
      <c r="AC49" s="13">
        <f t="shared" si="33"/>
        <v>38.606021485350276</v>
      </c>
      <c r="AD49" s="14">
        <f>SUM(AF49-AB49)</f>
        <v>228550.37099999981</v>
      </c>
      <c r="AE49" s="13">
        <f t="shared" si="34"/>
        <v>6.5891320580430763</v>
      </c>
      <c r="AF49" s="14">
        <f>SUM(AF29:AF48)</f>
        <v>1567637.2879999999</v>
      </c>
      <c r="AG49" s="15">
        <f t="shared" si="35"/>
        <v>45.195153543393346</v>
      </c>
      <c r="AH49" s="12">
        <f>SUM(AH29:AH48)</f>
        <v>207916782.252</v>
      </c>
      <c r="AI49" s="13">
        <f t="shared" si="55"/>
        <v>26.352796897514896</v>
      </c>
      <c r="AJ49" s="14">
        <f>SUM(AJ29:AJ48)</f>
        <v>53338267.056000017</v>
      </c>
      <c r="AK49" s="13">
        <f t="shared" si="56"/>
        <v>25.653661276535527</v>
      </c>
      <c r="AL49" s="14">
        <f t="shared" si="84"/>
        <v>6183166.4699999765</v>
      </c>
      <c r="AM49" s="13">
        <f t="shared" si="58"/>
        <v>2.9738659876458811</v>
      </c>
      <c r="AN49" s="14">
        <f>SUM(AN29:AN48)</f>
        <v>59521433.525999993</v>
      </c>
      <c r="AO49" s="15">
        <f t="shared" si="70"/>
        <v>28.627527264181406</v>
      </c>
      <c r="AP49" s="12">
        <f>SUM(AP29:AP48)</f>
        <v>581918540.84600008</v>
      </c>
      <c r="AQ49" s="13">
        <f t="shared" si="60"/>
        <v>62.358157129859414</v>
      </c>
      <c r="AR49" s="14">
        <f>SUM(AR29:AR48)</f>
        <v>328342488.37199998</v>
      </c>
      <c r="AS49" s="13">
        <f t="shared" si="61"/>
        <v>56.42413247301792</v>
      </c>
      <c r="AT49" s="14">
        <f t="shared" si="85"/>
        <v>226553310.33200002</v>
      </c>
      <c r="AU49" s="13">
        <f t="shared" si="63"/>
        <v>38.932134728450848</v>
      </c>
      <c r="AV49" s="14">
        <f>SUM(AV29:AV48)</f>
        <v>554895798.704</v>
      </c>
      <c r="AW49" s="15">
        <f t="shared" si="71"/>
        <v>95.356267201468768</v>
      </c>
      <c r="AX49" s="12"/>
      <c r="AY49" s="13">
        <f t="shared" si="65"/>
        <v>0</v>
      </c>
      <c r="AZ49" s="14"/>
      <c r="BA49" s="13">
        <f t="shared" si="72"/>
        <v>0</v>
      </c>
      <c r="BB49" s="14"/>
      <c r="BC49" s="13">
        <f t="shared" si="73"/>
        <v>0</v>
      </c>
      <c r="BD49" s="14"/>
      <c r="BE49" s="15">
        <f t="shared" si="74"/>
        <v>0</v>
      </c>
      <c r="BF49" s="12">
        <f>SUM(BF29:BF48)</f>
        <v>4072044055.914</v>
      </c>
      <c r="BG49" s="12">
        <f>SUM(BG29:BG48)</f>
        <v>4053338419.1639991</v>
      </c>
      <c r="BH49" s="16">
        <f t="shared" si="94"/>
        <v>28.561431986585429</v>
      </c>
      <c r="BI49" s="12">
        <f>SUM([4]con!$H$320)</f>
        <v>0</v>
      </c>
      <c r="BJ49" s="14">
        <f>SUM(BG49-BI49)</f>
        <v>4053338419.1639991</v>
      </c>
      <c r="BK49" s="12">
        <f>SUM(BK29:BK48)</f>
        <v>1313621460.2000003</v>
      </c>
      <c r="BL49" s="13">
        <f t="shared" si="36"/>
        <v>32.408383518860845</v>
      </c>
      <c r="BM49" s="12">
        <f>SUM(BM29:BM48)</f>
        <v>781441088.95899987</v>
      </c>
      <c r="BN49" s="13">
        <f t="shared" ref="BN49:BN84" si="95">IF(OR(BM49=0,BG49=0),0,BM49/BG49)*100</f>
        <v>19.278950044348186</v>
      </c>
      <c r="BO49" s="25">
        <f>SUM(BK49+BM49)</f>
        <v>2095062549.1590002</v>
      </c>
      <c r="BP49" s="15">
        <f>IF(OR(BO49=0,BG49=0),0,BO49/BG49)*100</f>
        <v>51.687333563209037</v>
      </c>
    </row>
    <row r="50" spans="1:70" x14ac:dyDescent="0.2">
      <c r="A50" s="258" t="s">
        <v>66</v>
      </c>
      <c r="B50" s="6">
        <f>SUM([5]cont!$F$434)</f>
        <v>0</v>
      </c>
      <c r="C50" s="7">
        <f t="shared" si="44"/>
        <v>0</v>
      </c>
      <c r="D50" s="8">
        <f>SUM([5]cont!$J$434)</f>
        <v>0</v>
      </c>
      <c r="E50" s="7">
        <f t="shared" si="9"/>
        <v>0</v>
      </c>
      <c r="F50" s="8">
        <f t="shared" si="75"/>
        <v>0</v>
      </c>
      <c r="G50" s="7">
        <f t="shared" si="11"/>
        <v>0</v>
      </c>
      <c r="H50" s="8">
        <f>SUM([5]cont!$N$434)</f>
        <v>0</v>
      </c>
      <c r="I50" s="9">
        <f t="shared" si="12"/>
        <v>0</v>
      </c>
      <c r="J50" s="6">
        <f>SUM([5]cont!$F$885)</f>
        <v>1680000</v>
      </c>
      <c r="K50" s="7">
        <f t="shared" si="45"/>
        <v>3.1929334422628255E-2</v>
      </c>
      <c r="L50" s="8">
        <f>SUM([5]cont!$J$885)</f>
        <v>0</v>
      </c>
      <c r="M50" s="7">
        <f t="shared" si="46"/>
        <v>0</v>
      </c>
      <c r="N50" s="8">
        <f t="shared" si="76"/>
        <v>0</v>
      </c>
      <c r="O50" s="7">
        <f t="shared" si="48"/>
        <v>0</v>
      </c>
      <c r="P50" s="8">
        <f>SUM([5]cont!$N$885)</f>
        <v>0</v>
      </c>
      <c r="Q50" s="9">
        <f t="shared" si="49"/>
        <v>0</v>
      </c>
      <c r="R50" s="6">
        <f>SUM(B50+J50)</f>
        <v>1680000</v>
      </c>
      <c r="S50" s="7">
        <f t="shared" si="50"/>
        <v>1.9417191213633916E-2</v>
      </c>
      <c r="T50" s="6">
        <f>SUM(D50+L50)</f>
        <v>0</v>
      </c>
      <c r="U50" s="7">
        <f>IF(OR(T50=0,R50=0),0,T50/R50)*100</f>
        <v>0</v>
      </c>
      <c r="V50" s="8">
        <f>SUM(X50-T50)</f>
        <v>0</v>
      </c>
      <c r="W50" s="7">
        <f>IF(OR(V50=0,R50=0),0,V50/R50)*100</f>
        <v>0</v>
      </c>
      <c r="X50" s="6">
        <f>SUM(H50+P50)</f>
        <v>0</v>
      </c>
      <c r="Y50" s="9">
        <f>IF(OR(X50=0,R50=0),0,X50/R50)*100</f>
        <v>0</v>
      </c>
      <c r="Z50" s="6"/>
      <c r="AA50" s="7">
        <f t="shared" si="69"/>
        <v>0</v>
      </c>
      <c r="AB50" s="6"/>
      <c r="AC50" s="7">
        <f t="shared" si="33"/>
        <v>0</v>
      </c>
      <c r="AD50" s="8"/>
      <c r="AE50" s="7">
        <f t="shared" si="34"/>
        <v>0</v>
      </c>
      <c r="AF50" s="6"/>
      <c r="AG50" s="9">
        <f t="shared" si="35"/>
        <v>0</v>
      </c>
      <c r="AH50" s="6">
        <f>SUM([5]cont!$F$1787)</f>
        <v>0</v>
      </c>
      <c r="AI50" s="7">
        <f t="shared" si="55"/>
        <v>0</v>
      </c>
      <c r="AJ50" s="8">
        <f>SUM([5]cont!$J$1787)</f>
        <v>0</v>
      </c>
      <c r="AK50" s="7">
        <f t="shared" si="56"/>
        <v>0</v>
      </c>
      <c r="AL50" s="8">
        <f t="shared" si="84"/>
        <v>0</v>
      </c>
      <c r="AM50" s="7">
        <f t="shared" si="58"/>
        <v>0</v>
      </c>
      <c r="AN50" s="8">
        <f>SUM([5]cont!$N$1787)</f>
        <v>0</v>
      </c>
      <c r="AO50" s="9">
        <f t="shared" si="70"/>
        <v>0</v>
      </c>
      <c r="AP50" s="6">
        <f>SUM([5]cont!$F$1801)</f>
        <v>610917.96200000006</v>
      </c>
      <c r="AQ50" s="7">
        <f t="shared" si="60"/>
        <v>6.5465723454120356E-2</v>
      </c>
      <c r="AR50" s="8">
        <f>SUM([5]cont!$J$1801)</f>
        <v>578053.22399999993</v>
      </c>
      <c r="AS50" s="7">
        <f t="shared" si="61"/>
        <v>94.620433504294283</v>
      </c>
      <c r="AT50" s="8">
        <f t="shared" si="85"/>
        <v>32864.7570000001</v>
      </c>
      <c r="AU50" s="7">
        <f t="shared" si="63"/>
        <v>5.3795696057795883</v>
      </c>
      <c r="AV50" s="8">
        <f>SUM([5]cont!$N$1801)</f>
        <v>610917.98100000003</v>
      </c>
      <c r="AW50" s="9">
        <f t="shared" si="71"/>
        <v>100.00000311007389</v>
      </c>
      <c r="AX50" s="6"/>
      <c r="AY50" s="7">
        <f t="shared" si="65"/>
        <v>0</v>
      </c>
      <c r="AZ50" s="8"/>
      <c r="BA50" s="7">
        <f t="shared" si="72"/>
        <v>0</v>
      </c>
      <c r="BB50" s="8"/>
      <c r="BC50" s="7">
        <f t="shared" si="73"/>
        <v>0</v>
      </c>
      <c r="BD50" s="8"/>
      <c r="BE50" s="9">
        <f t="shared" si="74"/>
        <v>0</v>
      </c>
      <c r="BF50" s="6">
        <f>SUM([5]cont!$D$432)</f>
        <v>2635999.9810000001</v>
      </c>
      <c r="BG50" s="8">
        <f>SUM(R50+Z50+AH50+AP50)</f>
        <v>2290917.9620000003</v>
      </c>
      <c r="BH50" s="10">
        <f t="shared" si="94"/>
        <v>1.6142717629781637E-2</v>
      </c>
      <c r="BI50" s="6">
        <f>+BI49</f>
        <v>0</v>
      </c>
      <c r="BJ50" s="8">
        <f>SUM(BJ49)</f>
        <v>4053338419.1639991</v>
      </c>
      <c r="BK50" s="8">
        <f>SUM(T50+AB50+AJ50+AR50)</f>
        <v>578053.22399999993</v>
      </c>
      <c r="BL50" s="7">
        <f t="shared" si="36"/>
        <v>25.232384292598248</v>
      </c>
      <c r="BM50" s="8">
        <f t="shared" si="90"/>
        <v>32864.7570000001</v>
      </c>
      <c r="BN50" s="7">
        <f>IF(OR(BM50=0,BG50=0),0,BM50/BG50)*100</f>
        <v>1.4345671711137467</v>
      </c>
      <c r="BO50" s="11">
        <f t="shared" si="92"/>
        <v>610917.98100000003</v>
      </c>
      <c r="BP50" s="9">
        <f>IF(OR(BO50=0,BG50=0),0,BO50/BG50)*100</f>
        <v>26.666951463711992</v>
      </c>
    </row>
    <row r="51" spans="1:70" x14ac:dyDescent="0.2">
      <c r="A51" s="258" t="s">
        <v>67</v>
      </c>
      <c r="B51" s="6">
        <f>SUM([5]uni!$F$434)</f>
        <v>2361387.8180000037</v>
      </c>
      <c r="C51" s="7">
        <f t="shared" ref="C51:C67" si="96">IF(OR(B51=0,B$84=0),0,B51/B$84)*100</f>
        <v>6.9647030318880032E-2</v>
      </c>
      <c r="D51" s="8">
        <f>SUM([5]uni!$J$434)</f>
        <v>1419668.0279999999</v>
      </c>
      <c r="E51" s="7">
        <f t="shared" si="9"/>
        <v>60.120070798129177</v>
      </c>
      <c r="F51" s="8">
        <f t="shared" si="75"/>
        <v>941580.75</v>
      </c>
      <c r="G51" s="7">
        <f t="shared" si="11"/>
        <v>39.874041138972224</v>
      </c>
      <c r="H51" s="8">
        <f>SUM([5]uni!$N$434)</f>
        <v>2361248.7779999999</v>
      </c>
      <c r="I51" s="9">
        <f t="shared" si="12"/>
        <v>99.994111937101394</v>
      </c>
      <c r="J51" s="6">
        <f>SUM([5]uni!$F$885)</f>
        <v>63210333.201999992</v>
      </c>
      <c r="K51" s="7">
        <f t="shared" ref="K51:K67" si="97">IF(OR(J51=0,J$84=0),0,J51/J$84)*100</f>
        <v>1.2013475403407263</v>
      </c>
      <c r="L51" s="8">
        <f>SUM([5]uni!$J$885)</f>
        <v>108037.66500000001</v>
      </c>
      <c r="M51" s="7">
        <f t="shared" si="46"/>
        <v>0.17091772741451339</v>
      </c>
      <c r="N51" s="8">
        <f t="shared" si="76"/>
        <v>837649.81599999999</v>
      </c>
      <c r="O51" s="7">
        <f t="shared" si="48"/>
        <v>1.325178611736058</v>
      </c>
      <c r="P51" s="8">
        <f>SUM([5]uni!$N$885)</f>
        <v>945687.48100000003</v>
      </c>
      <c r="Q51" s="9">
        <f t="shared" si="49"/>
        <v>1.4960963391505715</v>
      </c>
      <c r="R51" s="6">
        <f>SUM(B51+J51)</f>
        <v>65571721.019999996</v>
      </c>
      <c r="S51" s="7">
        <f t="shared" ref="S51:S82" si="98">IF(OR(R51=0,R$84=0),0,R51/R$84)*100</f>
        <v>0.75786824122166563</v>
      </c>
      <c r="T51" s="6">
        <f>SUM(D51+L51)</f>
        <v>1527705.693</v>
      </c>
      <c r="U51" s="7">
        <f>IF(OR(T51=0,R51=0),0,T51/R51)*100</f>
        <v>2.3298239991810421</v>
      </c>
      <c r="V51" s="8">
        <f>SUM(X51-T51)</f>
        <v>1779230.5660000001</v>
      </c>
      <c r="W51" s="7">
        <f>IF(OR(V51=0,R51=0),0,V51/R51)*100</f>
        <v>2.7134114193179677</v>
      </c>
      <c r="X51" s="6">
        <f>SUM(H51+P51)</f>
        <v>3306936.2590000001</v>
      </c>
      <c r="Y51" s="9">
        <f>IF(OR(X51=0,R51=0),0,X51/R51)*100</f>
        <v>5.0432354184990098</v>
      </c>
      <c r="Z51" s="6">
        <f>SUM([5]uni!$F$1628)</f>
        <v>302130</v>
      </c>
      <c r="AA51" s="7">
        <f t="shared" si="69"/>
        <v>7.7466695885713942E-3</v>
      </c>
      <c r="AB51" s="6">
        <f>SUM([5]uni!$J$1628)</f>
        <v>198702.61</v>
      </c>
      <c r="AC51" s="7">
        <f t="shared" si="33"/>
        <v>65.767255817032407</v>
      </c>
      <c r="AD51" s="8">
        <f>SUM(AF51-AB51)</f>
        <v>0</v>
      </c>
      <c r="AE51" s="7">
        <f t="shared" si="34"/>
        <v>0</v>
      </c>
      <c r="AF51" s="6">
        <f>SUM([5]uni!$N$1628)</f>
        <v>198702.61</v>
      </c>
      <c r="AG51" s="9">
        <f t="shared" si="35"/>
        <v>65.767255817032407</v>
      </c>
      <c r="AH51" s="6">
        <f>SUM([5]uni!$F$1787)</f>
        <v>0</v>
      </c>
      <c r="AI51" s="7">
        <f t="shared" ref="AI51:AI67" si="99">IF(OR(AH51=0,AH$84=0),0,AH51/AH$84)*100</f>
        <v>0</v>
      </c>
      <c r="AJ51" s="8">
        <f>SUM([5]uni!$J$1787)</f>
        <v>0</v>
      </c>
      <c r="AK51" s="7">
        <f t="shared" si="56"/>
        <v>0</v>
      </c>
      <c r="AL51" s="8">
        <f t="shared" si="84"/>
        <v>0</v>
      </c>
      <c r="AM51" s="7">
        <f t="shared" si="58"/>
        <v>0</v>
      </c>
      <c r="AN51" s="8">
        <f>SUM([5]uni!$N$1787)</f>
        <v>0</v>
      </c>
      <c r="AO51" s="9">
        <f t="shared" si="70"/>
        <v>0</v>
      </c>
      <c r="AP51" s="6">
        <f>SUM([5]uni!$F$1801)</f>
        <v>0</v>
      </c>
      <c r="AQ51" s="7">
        <f t="shared" ref="AQ51:AQ67" si="100">IF(OR(AP51=0,AP$84=0),0,AP51/AP$84)*100</f>
        <v>0</v>
      </c>
      <c r="AR51" s="8">
        <f>SUM([5]uni!$J$1801)</f>
        <v>0</v>
      </c>
      <c r="AS51" s="7">
        <f t="shared" si="61"/>
        <v>0</v>
      </c>
      <c r="AT51" s="8">
        <f t="shared" si="85"/>
        <v>0</v>
      </c>
      <c r="AU51" s="7">
        <f t="shared" si="63"/>
        <v>0</v>
      </c>
      <c r="AV51" s="8">
        <f>SUM([5]uni!$N$1801)</f>
        <v>0</v>
      </c>
      <c r="AW51" s="9">
        <f t="shared" si="71"/>
        <v>0</v>
      </c>
      <c r="AX51" s="6"/>
      <c r="AY51" s="7">
        <f t="shared" ref="AY51:AY67" si="101">IF(OR(AX51=0,AX$84=0),0,AX51/AX$84)*100</f>
        <v>0</v>
      </c>
      <c r="AZ51" s="8"/>
      <c r="BA51" s="7">
        <f t="shared" si="72"/>
        <v>0</v>
      </c>
      <c r="BB51" s="8"/>
      <c r="BC51" s="7">
        <f t="shared" si="73"/>
        <v>0</v>
      </c>
      <c r="BD51" s="8"/>
      <c r="BE51" s="9">
        <f t="shared" si="74"/>
        <v>0</v>
      </c>
      <c r="BF51" s="6">
        <f>SUM([5]uni!$D$432)</f>
        <v>65573582</v>
      </c>
      <c r="BG51" s="8">
        <f>SUM(R51+Z51+AH51+AP51)</f>
        <v>65873851.019999996</v>
      </c>
      <c r="BH51" s="10">
        <f t="shared" si="94"/>
        <v>0.46417331124062433</v>
      </c>
      <c r="BI51" s="6" t="e">
        <f>+#REF!</f>
        <v>#REF!</v>
      </c>
      <c r="BJ51" s="8" t="e">
        <f>SUM(#REF!)</f>
        <v>#REF!</v>
      </c>
      <c r="BK51" s="8">
        <f>SUM(T51+AB51+AJ51+AR51)</f>
        <v>1726408.3029999998</v>
      </c>
      <c r="BL51" s="7">
        <f t="shared" si="36"/>
        <v>2.6207793779596158</v>
      </c>
      <c r="BM51" s="8">
        <f t="shared" si="90"/>
        <v>1779230.5660000001</v>
      </c>
      <c r="BN51" s="7">
        <f>IF(OR(BM51=0,BG51=0),0,BM51/BG51)*100</f>
        <v>2.7009663750488899</v>
      </c>
      <c r="BO51" s="11">
        <f t="shared" si="92"/>
        <v>3505638.8689999999</v>
      </c>
      <c r="BP51" s="9">
        <f>IF(OR(BO51=0,BG51=0),0,BO51/BG51)*100</f>
        <v>5.3217457530085053</v>
      </c>
    </row>
    <row r="52" spans="1:70" s="17" customFormat="1" ht="16.5" thickBot="1" x14ac:dyDescent="0.3">
      <c r="A52" s="275" t="s">
        <v>69</v>
      </c>
      <c r="B52" s="26">
        <f>SUM(B49:B51)+B28</f>
        <v>2638116448.0099998</v>
      </c>
      <c r="C52" s="27">
        <f t="shared" si="96"/>
        <v>77.808894768884713</v>
      </c>
      <c r="D52" s="28">
        <f>SUM(D49:D51)+D28</f>
        <v>2030213158.8249996</v>
      </c>
      <c r="E52" s="27">
        <f t="shared" si="9"/>
        <v>76.956919788603059</v>
      </c>
      <c r="F52" s="28">
        <f t="shared" ref="F52:F59" si="102">SUM(H52-D52)</f>
        <v>604932101.61860013</v>
      </c>
      <c r="G52" s="27">
        <f t="shared" si="11"/>
        <v>22.930454873397125</v>
      </c>
      <c r="H52" s="28">
        <f>SUM(H49:H51)+H28</f>
        <v>2635145260.4435997</v>
      </c>
      <c r="I52" s="29">
        <f t="shared" si="12"/>
        <v>99.887374662000184</v>
      </c>
      <c r="J52" s="26">
        <f>SUM(J49:J51)+J28</f>
        <v>4125830468.1630001</v>
      </c>
      <c r="K52" s="27">
        <f t="shared" si="97"/>
        <v>78.413702850622229</v>
      </c>
      <c r="L52" s="28">
        <f>SUM(L49:L51)+L28</f>
        <v>548678192.88800001</v>
      </c>
      <c r="M52" s="27">
        <f t="shared" si="46"/>
        <v>13.298612173279517</v>
      </c>
      <c r="N52" s="28">
        <f t="shared" si="76"/>
        <v>521208729.4890002</v>
      </c>
      <c r="O52" s="27">
        <f t="shared" si="48"/>
        <v>12.632819828902594</v>
      </c>
      <c r="P52" s="28">
        <f>SUM(P49:P51)+P28</f>
        <v>1069886922.3770002</v>
      </c>
      <c r="Q52" s="29">
        <f t="shared" si="49"/>
        <v>25.93143200218211</v>
      </c>
      <c r="R52" s="12">
        <f t="shared" si="77"/>
        <v>6763946916.1730003</v>
      </c>
      <c r="S52" s="13">
        <f t="shared" si="98"/>
        <v>78.176696803690831</v>
      </c>
      <c r="T52" s="12">
        <f t="shared" si="78"/>
        <v>2578891351.7129993</v>
      </c>
      <c r="U52" s="13">
        <f t="shared" si="79"/>
        <v>38.127019381933884</v>
      </c>
      <c r="V52" s="14">
        <f t="shared" si="80"/>
        <v>1126140831.1076007</v>
      </c>
      <c r="W52" s="13">
        <f t="shared" si="81"/>
        <v>16.649167195782255</v>
      </c>
      <c r="X52" s="12">
        <f t="shared" si="82"/>
        <v>3705032182.8206</v>
      </c>
      <c r="Y52" s="15">
        <f t="shared" si="83"/>
        <v>54.776186577716146</v>
      </c>
      <c r="Z52" s="26">
        <f>SUM(Z49:Z51)+Z28</f>
        <v>3741637869</v>
      </c>
      <c r="AA52" s="27">
        <f t="shared" si="69"/>
        <v>95.936293288416834</v>
      </c>
      <c r="AB52" s="28">
        <f>SUM(AB49:AB51)+AB28</f>
        <v>383923146.76800001</v>
      </c>
      <c r="AC52" s="27">
        <f t="shared" si="33"/>
        <v>10.260831224444718</v>
      </c>
      <c r="AD52" s="28">
        <f>SUM(AF52-AB52)</f>
        <v>228550.37099999189</v>
      </c>
      <c r="AE52" s="27">
        <f t="shared" si="34"/>
        <v>6.1082974622842078E-3</v>
      </c>
      <c r="AF52" s="28">
        <f>SUM(AF49:AF51)+AF28</f>
        <v>384151697.139</v>
      </c>
      <c r="AG52" s="29">
        <f t="shared" si="35"/>
        <v>10.266939521907004</v>
      </c>
      <c r="AH52" s="26">
        <f>SUM(AH49:AH51)+AH28</f>
        <v>293364361.62199998</v>
      </c>
      <c r="AI52" s="27">
        <f t="shared" si="99"/>
        <v>37.183008293306315</v>
      </c>
      <c r="AJ52" s="28">
        <f>SUM(AJ49:AJ51)+AJ28</f>
        <v>74483130.997000024</v>
      </c>
      <c r="AK52" s="27">
        <f t="shared" si="56"/>
        <v>25.389290841322964</v>
      </c>
      <c r="AL52" s="28">
        <f t="shared" si="84"/>
        <v>6352486.0549999624</v>
      </c>
      <c r="AM52" s="27">
        <f t="shared" si="58"/>
        <v>2.1653911947168081</v>
      </c>
      <c r="AN52" s="28">
        <f>SUM(AN49:AN51)+AN28</f>
        <v>80835617.051999986</v>
      </c>
      <c r="AO52" s="29">
        <f t="shared" si="70"/>
        <v>27.554682036039775</v>
      </c>
      <c r="AP52" s="26">
        <f>SUM(AP49:AP51)+AP28</f>
        <v>933187521.29600012</v>
      </c>
      <c r="AQ52" s="27">
        <f t="shared" si="100"/>
        <v>100</v>
      </c>
      <c r="AR52" s="28">
        <f>SUM(AR49:AR51)+AR28</f>
        <v>574585733.49099994</v>
      </c>
      <c r="AS52" s="27">
        <f t="shared" ref="AS52:AS67" si="103">IF(OR(AR52=0,AP52=0),0,AR52/AP52)*100</f>
        <v>61.572376438662815</v>
      </c>
      <c r="AT52" s="28">
        <f>SUM(AV52-AR52)</f>
        <v>329654579.09789991</v>
      </c>
      <c r="AU52" s="27">
        <f t="shared" ref="AU52:AU67" si="104">IF(OR(AT52=0,AP52=0),0,AT52/AP52)*100</f>
        <v>35.325652301916705</v>
      </c>
      <c r="AV52" s="28">
        <f>SUM(AV49:AV51)+AV28</f>
        <v>904240312.58889985</v>
      </c>
      <c r="AW52" s="29">
        <f t="shared" si="71"/>
        <v>96.89802874057952</v>
      </c>
      <c r="AX52" s="26"/>
      <c r="AY52" s="27">
        <f t="shared" si="101"/>
        <v>0</v>
      </c>
      <c r="AZ52" s="28"/>
      <c r="BA52" s="27">
        <f t="shared" si="72"/>
        <v>0</v>
      </c>
      <c r="BB52" s="28"/>
      <c r="BC52" s="27">
        <f t="shared" si="73"/>
        <v>0</v>
      </c>
      <c r="BD52" s="28"/>
      <c r="BE52" s="29">
        <f t="shared" si="74"/>
        <v>0</v>
      </c>
      <c r="BF52" s="26">
        <f>SUM(BF49:BF51)+BF28</f>
        <v>11806774914.888</v>
      </c>
      <c r="BG52" s="26">
        <f>SUM(BG49:BG51)+BG28</f>
        <v>11732136668.091002</v>
      </c>
      <c r="BH52" s="27">
        <f t="shared" si="94"/>
        <v>82.669293518333404</v>
      </c>
      <c r="BI52" s="28" t="e">
        <f>SUM(BI49:BI51)+BI28</f>
        <v>#REF!</v>
      </c>
      <c r="BJ52" s="27" t="e">
        <f>IF(OR(BI52=0,BG52=0),0,BI52/BG52)*100</f>
        <v>#REF!</v>
      </c>
      <c r="BK52" s="26">
        <f>SUM(BK49:BK51)+BK28</f>
        <v>3611883362.9689999</v>
      </c>
      <c r="BL52" s="27">
        <f t="shared" si="36"/>
        <v>30.786236686046962</v>
      </c>
      <c r="BM52" s="26">
        <f>SUM(BM49:BM51)+BM28</f>
        <v>1462376446.6314998</v>
      </c>
      <c r="BN52" s="29">
        <f>IF(OR(BM52=0,BG52=0),0,BM52/BG52)*100</f>
        <v>12.464706881644695</v>
      </c>
      <c r="BO52" s="26">
        <f>SUM(BO49:BO51)+BO28</f>
        <v>5074259809.6004992</v>
      </c>
      <c r="BP52" s="29" t="e">
        <f>IF(OR(BO52=0,BI52=0),0,BO52/BI52)*100</f>
        <v>#REF!</v>
      </c>
    </row>
    <row r="53" spans="1:70" ht="25.5" x14ac:dyDescent="0.2">
      <c r="A53" s="76" t="s">
        <v>70</v>
      </c>
      <c r="B53" s="31">
        <f>SUM([6]geaa!$F$434)</f>
        <v>257659473.42900002</v>
      </c>
      <c r="C53" s="32">
        <f t="shared" si="96"/>
        <v>7.5994366622315663</v>
      </c>
      <c r="D53" s="33">
        <f>SUM([6]geaa!$J$434)</f>
        <v>20439472.4443</v>
      </c>
      <c r="E53" s="32">
        <f t="shared" si="9"/>
        <v>7.9327463385243036</v>
      </c>
      <c r="F53" s="33">
        <f t="shared" si="102"/>
        <v>237220000.9817</v>
      </c>
      <c r="G53" s="32">
        <f t="shared" si="11"/>
        <v>92.067253660311366</v>
      </c>
      <c r="H53" s="33">
        <f>SUM([6]geaa!$N$434)</f>
        <v>257659473.426</v>
      </c>
      <c r="I53" s="34">
        <f t="shared" si="12"/>
        <v>99.999999998835662</v>
      </c>
      <c r="J53" s="31">
        <f>SUM([6]geaa!$F$885)</f>
        <v>221988797.72600001</v>
      </c>
      <c r="K53" s="32">
        <f t="shared" si="97"/>
        <v>4.219020571827758</v>
      </c>
      <c r="L53" s="33">
        <f>SUM([6]geaa!$J$885)</f>
        <v>7317144.182</v>
      </c>
      <c r="M53" s="32">
        <f t="shared" si="46"/>
        <v>3.2961772201818604</v>
      </c>
      <c r="N53" s="33">
        <f t="shared" si="76"/>
        <v>35590514.519999996</v>
      </c>
      <c r="O53" s="32">
        <f t="shared" si="48"/>
        <v>16.032572312017855</v>
      </c>
      <c r="P53" s="33">
        <f>SUM([6]geaa!$N$885)</f>
        <v>42907658.702</v>
      </c>
      <c r="Q53" s="34">
        <f t="shared" si="49"/>
        <v>19.328749532199716</v>
      </c>
      <c r="R53" s="6">
        <f t="shared" ref="R53:R59" si="105">SUM(B53+J53)</f>
        <v>479648271.15500003</v>
      </c>
      <c r="S53" s="7">
        <f t="shared" si="98"/>
        <v>5.5437036882771222</v>
      </c>
      <c r="T53" s="6">
        <f t="shared" ref="T53:T59" si="106">SUM(D53+L53)</f>
        <v>27756616.6263</v>
      </c>
      <c r="U53" s="7">
        <f t="shared" ref="U53:U60" si="107">IF(OR(T53=0,R53=0),0,T53/R53)*100</f>
        <v>5.786868898633089</v>
      </c>
      <c r="V53" s="8">
        <f t="shared" ref="V53:V60" si="108">SUM(X53-T53)</f>
        <v>272810515.50170004</v>
      </c>
      <c r="W53" s="7">
        <f t="shared" ref="W53:W60" si="109">IF(OR(V53=0,R53=0),0,V53/R53)*100</f>
        <v>56.877201880613129</v>
      </c>
      <c r="X53" s="6">
        <f t="shared" ref="X53:X59" si="110">SUM(H53+P53)</f>
        <v>300567132.12800002</v>
      </c>
      <c r="Y53" s="9">
        <f t="shared" ref="Y53:Y60" si="111">IF(OR(X53=0,R53=0),0,X53/R53)*100</f>
        <v>62.664070779246217</v>
      </c>
      <c r="Z53" s="31">
        <f>SUM([6]geaa!$F$1628)</f>
        <v>149830678.43799999</v>
      </c>
      <c r="AA53" s="32">
        <f t="shared" si="69"/>
        <v>3.8416865590662104</v>
      </c>
      <c r="AB53" s="31">
        <f>SUM([6]geaa!$J$1628)</f>
        <v>0</v>
      </c>
      <c r="AC53" s="32">
        <f t="shared" si="33"/>
        <v>0</v>
      </c>
      <c r="AD53" s="33">
        <f t="shared" ref="AD53:AD60" si="112">SUM(AF53-AB53)</f>
        <v>34434034.881999999</v>
      </c>
      <c r="AE53" s="32">
        <f t="shared" si="34"/>
        <v>22.981965536683344</v>
      </c>
      <c r="AF53" s="31">
        <f>SUM([6]geaa!$N$1628)</f>
        <v>34434034.881999999</v>
      </c>
      <c r="AG53" s="34">
        <f t="shared" si="35"/>
        <v>22.981965536683344</v>
      </c>
      <c r="AH53" s="31">
        <f>SUM([6]geaa!$F$1800)</f>
        <v>457398822.83200002</v>
      </c>
      <c r="AI53" s="32">
        <f t="shared" si="99"/>
        <v>57.973859294555076</v>
      </c>
      <c r="AJ53" s="33">
        <f>SUM([6]geaa!$J$1800)</f>
        <v>201556748.252</v>
      </c>
      <c r="AK53" s="32">
        <f t="shared" si="56"/>
        <v>44.065865103030802</v>
      </c>
      <c r="AL53" s="33">
        <f t="shared" si="84"/>
        <v>249924529.13399997</v>
      </c>
      <c r="AM53" s="32">
        <f t="shared" si="58"/>
        <v>54.640396227210196</v>
      </c>
      <c r="AN53" s="33">
        <f>SUM([6]geaa!$N$1800)</f>
        <v>451481277.38599998</v>
      </c>
      <c r="AO53" s="34">
        <f t="shared" si="70"/>
        <v>98.706261330240991</v>
      </c>
      <c r="AP53" s="31"/>
      <c r="AQ53" s="32">
        <f t="shared" si="100"/>
        <v>0</v>
      </c>
      <c r="AR53" s="33"/>
      <c r="AS53" s="32">
        <f t="shared" si="103"/>
        <v>0</v>
      </c>
      <c r="AT53" s="33"/>
      <c r="AU53" s="32">
        <f t="shared" si="104"/>
        <v>0</v>
      </c>
      <c r="AV53" s="33"/>
      <c r="AW53" s="34">
        <f t="shared" si="71"/>
        <v>0</v>
      </c>
      <c r="AX53" s="31"/>
      <c r="AY53" s="32">
        <f t="shared" si="101"/>
        <v>0</v>
      </c>
      <c r="AZ53" s="33"/>
      <c r="BA53" s="32">
        <f t="shared" si="72"/>
        <v>0</v>
      </c>
      <c r="BB53" s="33"/>
      <c r="BC53" s="32">
        <f t="shared" si="73"/>
        <v>0</v>
      </c>
      <c r="BD53" s="33"/>
      <c r="BE53" s="34">
        <f t="shared" si="74"/>
        <v>0</v>
      </c>
      <c r="BF53" s="31">
        <f>SUM([6]geaa!$D$432)</f>
        <v>855049649.35000002</v>
      </c>
      <c r="BG53" s="8">
        <f>SUM(R53+Z53+AH53+AP53)</f>
        <v>1086877772.4250002</v>
      </c>
      <c r="BH53" s="35">
        <f t="shared" si="94"/>
        <v>7.6585723580541041</v>
      </c>
      <c r="BI53" s="31">
        <f>SUM([7]agua!$H$320)</f>
        <v>0</v>
      </c>
      <c r="BJ53" s="33">
        <f t="shared" ref="BJ53:BJ58" si="113">SUM(BG53-BI53)</f>
        <v>1086877772.4250002</v>
      </c>
      <c r="BK53" s="8">
        <f t="shared" ref="BK53:BM59" si="114">SUM(T53+AB53+AJ53+AR53)</f>
        <v>229313364.87830001</v>
      </c>
      <c r="BL53" s="32">
        <f t="shared" si="36"/>
        <v>21.098358131537161</v>
      </c>
      <c r="BM53" s="8">
        <f t="shared" si="114"/>
        <v>557169079.51769996</v>
      </c>
      <c r="BN53" s="32">
        <f t="shared" si="95"/>
        <v>51.263269307142565</v>
      </c>
      <c r="BO53" s="11">
        <f t="shared" si="92"/>
        <v>786482444.39599991</v>
      </c>
      <c r="BP53" s="34">
        <f t="shared" ref="BP53:BP58" si="115">IF(OR(BO53=0,BG53=0),0,BO53/BG53)*100</f>
        <v>72.361627438679719</v>
      </c>
    </row>
    <row r="54" spans="1:70" x14ac:dyDescent="0.2">
      <c r="A54" s="258" t="s">
        <v>71</v>
      </c>
      <c r="B54" s="31">
        <f>SUM([6]gagu!$F$434)</f>
        <v>0</v>
      </c>
      <c r="C54" s="7">
        <f t="shared" si="96"/>
        <v>0</v>
      </c>
      <c r="D54" s="33">
        <f>SUM([6]gagu!$J$434)</f>
        <v>0</v>
      </c>
      <c r="E54" s="7">
        <f t="shared" si="9"/>
        <v>0</v>
      </c>
      <c r="F54" s="8">
        <f t="shared" si="102"/>
        <v>0</v>
      </c>
      <c r="G54" s="7">
        <f t="shared" si="11"/>
        <v>0</v>
      </c>
      <c r="H54" s="33">
        <f>SUM([6]gagu!$N$434)</f>
        <v>0</v>
      </c>
      <c r="I54" s="9">
        <f t="shared" si="12"/>
        <v>0</v>
      </c>
      <c r="J54" s="31">
        <f>SUM([6]gagu!$F$885)</f>
        <v>0</v>
      </c>
      <c r="K54" s="7">
        <f t="shared" si="97"/>
        <v>0</v>
      </c>
      <c r="L54" s="33">
        <f>SUM([6]gagu!$J$885)</f>
        <v>0</v>
      </c>
      <c r="M54" s="7">
        <f t="shared" si="46"/>
        <v>0</v>
      </c>
      <c r="N54" s="8">
        <f t="shared" si="76"/>
        <v>0</v>
      </c>
      <c r="O54" s="7">
        <f t="shared" si="48"/>
        <v>0</v>
      </c>
      <c r="P54" s="33">
        <f>SUM([6]gagu!$N$885)</f>
        <v>0</v>
      </c>
      <c r="Q54" s="9">
        <f t="shared" si="49"/>
        <v>0</v>
      </c>
      <c r="R54" s="6">
        <f t="shared" si="105"/>
        <v>0</v>
      </c>
      <c r="S54" s="7">
        <f t="shared" si="98"/>
        <v>0</v>
      </c>
      <c r="T54" s="6">
        <f t="shared" si="106"/>
        <v>0</v>
      </c>
      <c r="U54" s="7">
        <f t="shared" si="107"/>
        <v>0</v>
      </c>
      <c r="V54" s="8">
        <f t="shared" si="108"/>
        <v>0</v>
      </c>
      <c r="W54" s="7">
        <f t="shared" si="109"/>
        <v>0</v>
      </c>
      <c r="X54" s="6">
        <f t="shared" si="110"/>
        <v>0</v>
      </c>
      <c r="Y54" s="9">
        <f t="shared" si="111"/>
        <v>0</v>
      </c>
      <c r="Z54" s="31"/>
      <c r="AA54" s="7">
        <f t="shared" si="69"/>
        <v>0</v>
      </c>
      <c r="AB54" s="31"/>
      <c r="AC54" s="7">
        <f t="shared" si="33"/>
        <v>0</v>
      </c>
      <c r="AD54" s="8">
        <f t="shared" si="112"/>
        <v>0</v>
      </c>
      <c r="AE54" s="7">
        <f t="shared" si="34"/>
        <v>0</v>
      </c>
      <c r="AF54" s="31"/>
      <c r="AG54" s="9">
        <f t="shared" si="35"/>
        <v>0</v>
      </c>
      <c r="AH54" s="31">
        <f>SUM([6]gagu!$F$1800)</f>
        <v>0</v>
      </c>
      <c r="AI54" s="7">
        <f t="shared" si="99"/>
        <v>0</v>
      </c>
      <c r="AJ54" s="33">
        <f>SUM([6]gagu!$J$1800)</f>
        <v>0</v>
      </c>
      <c r="AK54" s="7">
        <f t="shared" si="56"/>
        <v>0</v>
      </c>
      <c r="AL54" s="8">
        <f t="shared" si="84"/>
        <v>0</v>
      </c>
      <c r="AM54" s="7">
        <f t="shared" si="58"/>
        <v>0</v>
      </c>
      <c r="AN54" s="33">
        <f>SUM([6]gagu!$N$1800)</f>
        <v>0</v>
      </c>
      <c r="AO54" s="9">
        <f t="shared" si="70"/>
        <v>0</v>
      </c>
      <c r="AP54" s="6"/>
      <c r="AQ54" s="7">
        <f t="shared" si="100"/>
        <v>0</v>
      </c>
      <c r="AR54" s="8"/>
      <c r="AS54" s="7">
        <f t="shared" si="103"/>
        <v>0</v>
      </c>
      <c r="AT54" s="8"/>
      <c r="AU54" s="7">
        <f t="shared" si="104"/>
        <v>0</v>
      </c>
      <c r="AV54" s="8"/>
      <c r="AW54" s="9">
        <f t="shared" si="71"/>
        <v>0</v>
      </c>
      <c r="AX54" s="6"/>
      <c r="AY54" s="7">
        <f t="shared" si="101"/>
        <v>0</v>
      </c>
      <c r="AZ54" s="8"/>
      <c r="BA54" s="7">
        <f t="shared" si="72"/>
        <v>0</v>
      </c>
      <c r="BB54" s="8"/>
      <c r="BC54" s="7">
        <f t="shared" si="73"/>
        <v>0</v>
      </c>
      <c r="BD54" s="8"/>
      <c r="BE54" s="9">
        <f t="shared" si="74"/>
        <v>0</v>
      </c>
      <c r="BF54" s="31">
        <f>SUM([6]gagu!$D$432)</f>
        <v>0</v>
      </c>
      <c r="BG54" s="8">
        <f t="shared" ref="BG54:BG59" si="116">SUM(R54+Z54+AH54+AP54)</f>
        <v>0</v>
      </c>
      <c r="BH54" s="10">
        <f t="shared" si="94"/>
        <v>0</v>
      </c>
      <c r="BI54" s="6">
        <f>SUM([7]lote!$H$320)</f>
        <v>0</v>
      </c>
      <c r="BJ54" s="8">
        <f t="shared" si="113"/>
        <v>0</v>
      </c>
      <c r="BK54" s="8">
        <f t="shared" si="114"/>
        <v>0</v>
      </c>
      <c r="BL54" s="7">
        <f t="shared" si="36"/>
        <v>0</v>
      </c>
      <c r="BM54" s="8">
        <f t="shared" si="114"/>
        <v>0</v>
      </c>
      <c r="BN54" s="7">
        <f t="shared" si="95"/>
        <v>0</v>
      </c>
      <c r="BO54" s="11">
        <f t="shared" si="92"/>
        <v>0</v>
      </c>
      <c r="BP54" s="9">
        <f t="shared" si="115"/>
        <v>0</v>
      </c>
    </row>
    <row r="55" spans="1:70" x14ac:dyDescent="0.2">
      <c r="A55" s="258" t="s">
        <v>72</v>
      </c>
      <c r="B55" s="31">
        <f>SUM([6]glot!$F$434)</f>
        <v>55097.435000000056</v>
      </c>
      <c r="C55" s="7">
        <f t="shared" si="96"/>
        <v>1.6250497680586917E-3</v>
      </c>
      <c r="D55" s="33">
        <f>SUM([6]glot!$J$434)</f>
        <v>55097.434999999998</v>
      </c>
      <c r="E55" s="7">
        <f t="shared" si="9"/>
        <v>99.999999999999886</v>
      </c>
      <c r="F55" s="8">
        <f t="shared" si="102"/>
        <v>0</v>
      </c>
      <c r="G55" s="7">
        <f t="shared" si="11"/>
        <v>0</v>
      </c>
      <c r="H55" s="33">
        <f>SUM([6]glot!$N$434)</f>
        <v>55097.434999999998</v>
      </c>
      <c r="I55" s="9">
        <f t="shared" si="12"/>
        <v>99.999999999999886</v>
      </c>
      <c r="J55" s="31">
        <f>SUM([6]glot!$F$885)</f>
        <v>944902.56499999994</v>
      </c>
      <c r="K55" s="7">
        <f t="shared" si="97"/>
        <v>1.795839880635966E-2</v>
      </c>
      <c r="L55" s="33">
        <f>SUM([6]glot!$J$885)</f>
        <v>0</v>
      </c>
      <c r="M55" s="7">
        <f t="shared" si="46"/>
        <v>0</v>
      </c>
      <c r="N55" s="8">
        <f t="shared" si="76"/>
        <v>0</v>
      </c>
      <c r="O55" s="7">
        <f t="shared" si="48"/>
        <v>0</v>
      </c>
      <c r="P55" s="33">
        <f>SUM([6]glot!$N$885)</f>
        <v>0</v>
      </c>
      <c r="Q55" s="9">
        <f t="shared" si="49"/>
        <v>0</v>
      </c>
      <c r="R55" s="6">
        <f t="shared" si="105"/>
        <v>1000000</v>
      </c>
      <c r="S55" s="7">
        <f t="shared" si="98"/>
        <v>1.1557851912877332E-2</v>
      </c>
      <c r="T55" s="6">
        <f t="shared" si="106"/>
        <v>55097.434999999998</v>
      </c>
      <c r="U55" s="7">
        <f t="shared" si="107"/>
        <v>5.5097434999999999</v>
      </c>
      <c r="V55" s="8">
        <f t="shared" si="108"/>
        <v>0</v>
      </c>
      <c r="W55" s="7">
        <f t="shared" si="109"/>
        <v>0</v>
      </c>
      <c r="X55" s="6">
        <f t="shared" si="110"/>
        <v>55097.434999999998</v>
      </c>
      <c r="Y55" s="9">
        <f t="shared" si="111"/>
        <v>5.5097434999999999</v>
      </c>
      <c r="Z55" s="31">
        <f>SUM([6]glot!$F$1628)</f>
        <v>6659069.2829999998</v>
      </c>
      <c r="AA55" s="7">
        <f t="shared" si="69"/>
        <v>0.17073977924339195</v>
      </c>
      <c r="AB55" s="31">
        <f>SUM([6]glot!$J$1628)</f>
        <v>4449789.9330000002</v>
      </c>
      <c r="AC55" s="7">
        <f t="shared" si="33"/>
        <v>66.823000991443521</v>
      </c>
      <c r="AD55" s="8">
        <f t="shared" si="112"/>
        <v>0</v>
      </c>
      <c r="AE55" s="7">
        <f t="shared" si="34"/>
        <v>0</v>
      </c>
      <c r="AF55" s="31">
        <f>SUM([6]glot!$N$1628)</f>
        <v>4449789.9330000002</v>
      </c>
      <c r="AG55" s="9">
        <f t="shared" si="35"/>
        <v>66.823000991443521</v>
      </c>
      <c r="AH55" s="31">
        <f>SUM([6]glot!$F$1800)</f>
        <v>0</v>
      </c>
      <c r="AI55" s="7">
        <f t="shared" si="99"/>
        <v>0</v>
      </c>
      <c r="AJ55" s="33">
        <f>SUM([6]glot!$J$1800)</f>
        <v>0</v>
      </c>
      <c r="AK55" s="7">
        <f t="shared" si="56"/>
        <v>0</v>
      </c>
      <c r="AL55" s="8">
        <f t="shared" si="84"/>
        <v>0</v>
      </c>
      <c r="AM55" s="7">
        <f t="shared" si="58"/>
        <v>0</v>
      </c>
      <c r="AN55" s="33">
        <f>SUM([6]glot!$N$1800)</f>
        <v>0</v>
      </c>
      <c r="AO55" s="9">
        <f t="shared" si="70"/>
        <v>0</v>
      </c>
      <c r="AP55" s="6"/>
      <c r="AQ55" s="7">
        <f t="shared" si="100"/>
        <v>0</v>
      </c>
      <c r="AR55" s="8"/>
      <c r="AS55" s="7">
        <f t="shared" si="103"/>
        <v>0</v>
      </c>
      <c r="AT55" s="8"/>
      <c r="AU55" s="7">
        <f t="shared" si="104"/>
        <v>0</v>
      </c>
      <c r="AV55" s="8"/>
      <c r="AW55" s="9">
        <f t="shared" si="71"/>
        <v>0</v>
      </c>
      <c r="AX55" s="6"/>
      <c r="AY55" s="7">
        <f t="shared" si="101"/>
        <v>0</v>
      </c>
      <c r="AZ55" s="8"/>
      <c r="BA55" s="7">
        <f t="shared" si="72"/>
        <v>0</v>
      </c>
      <c r="BB55" s="8"/>
      <c r="BC55" s="7">
        <f t="shared" si="73"/>
        <v>0</v>
      </c>
      <c r="BD55" s="8"/>
      <c r="BE55" s="9">
        <f t="shared" si="74"/>
        <v>0</v>
      </c>
      <c r="BF55" s="31">
        <f>SUM([6]glot!$D$432)</f>
        <v>7419069.2829999998</v>
      </c>
      <c r="BG55" s="8">
        <f t="shared" si="116"/>
        <v>7659069.2829999998</v>
      </c>
      <c r="BH55" s="10">
        <f t="shared" si="94"/>
        <v>5.3968843403918922E-2</v>
      </c>
      <c r="BI55" s="6">
        <f>SUM([7]tran!$H$320)</f>
        <v>0</v>
      </c>
      <c r="BJ55" s="8">
        <f t="shared" si="113"/>
        <v>7659069.2829999998</v>
      </c>
      <c r="BK55" s="8">
        <f t="shared" si="114"/>
        <v>4504887.3679999998</v>
      </c>
      <c r="BL55" s="7">
        <f t="shared" si="36"/>
        <v>58.81768660846307</v>
      </c>
      <c r="BM55" s="8">
        <f t="shared" si="114"/>
        <v>0</v>
      </c>
      <c r="BN55" s="7">
        <f t="shared" si="95"/>
        <v>0</v>
      </c>
      <c r="BO55" s="11">
        <f t="shared" si="92"/>
        <v>4504887.3679999998</v>
      </c>
      <c r="BP55" s="9">
        <f t="shared" si="115"/>
        <v>58.81768660846307</v>
      </c>
      <c r="BR55" s="274"/>
    </row>
    <row r="56" spans="1:70" x14ac:dyDescent="0.2">
      <c r="A56" s="258" t="s">
        <v>73</v>
      </c>
      <c r="B56" s="31">
        <f>SUM([6]gtra!$F$434)</f>
        <v>480060255.78300005</v>
      </c>
      <c r="C56" s="7">
        <f t="shared" si="96"/>
        <v>14.158949637389828</v>
      </c>
      <c r="D56" s="33">
        <f>SUM([6]gtra!$J$434)</f>
        <v>109032645.653</v>
      </c>
      <c r="E56" s="7">
        <f t="shared" si="9"/>
        <v>22.712283372670125</v>
      </c>
      <c r="F56" s="8">
        <f t="shared" si="102"/>
        <v>371027610.12899995</v>
      </c>
      <c r="G56" s="7">
        <f t="shared" si="11"/>
        <v>77.287716627121554</v>
      </c>
      <c r="H56" s="33">
        <f>SUM([6]gtra!$N$434)</f>
        <v>480060255.78199995</v>
      </c>
      <c r="I56" s="9">
        <f t="shared" si="12"/>
        <v>99.999999999791669</v>
      </c>
      <c r="J56" s="31">
        <f>SUM([6]gtra!$F$885)</f>
        <v>796030434.81700003</v>
      </c>
      <c r="K56" s="7">
        <f t="shared" si="97"/>
        <v>15.12900116896558</v>
      </c>
      <c r="L56" s="33">
        <f>SUM([6]gtra!$J$885)</f>
        <v>27287925.335000001</v>
      </c>
      <c r="M56" s="7">
        <f t="shared" si="46"/>
        <v>3.4280002549492017</v>
      </c>
      <c r="N56" s="8">
        <f t="shared" si="76"/>
        <v>18751664.860999994</v>
      </c>
      <c r="O56" s="7">
        <f t="shared" si="48"/>
        <v>2.3556467241495391</v>
      </c>
      <c r="P56" s="33">
        <f>SUM([6]gtra!$N$885)</f>
        <v>46039590.195999995</v>
      </c>
      <c r="Q56" s="9">
        <f t="shared" si="49"/>
        <v>5.7836469790987408</v>
      </c>
      <c r="R56" s="6">
        <f t="shared" si="105"/>
        <v>1276090690.6000001</v>
      </c>
      <c r="S56" s="7">
        <f t="shared" si="98"/>
        <v>14.748867229356167</v>
      </c>
      <c r="T56" s="6">
        <f t="shared" si="106"/>
        <v>136320570.98800001</v>
      </c>
      <c r="U56" s="7">
        <f t="shared" si="107"/>
        <v>10.682671066576308</v>
      </c>
      <c r="V56" s="8">
        <f t="shared" si="108"/>
        <v>389779274.98999989</v>
      </c>
      <c r="W56" s="7">
        <f t="shared" si="109"/>
        <v>30.544794179693536</v>
      </c>
      <c r="X56" s="6">
        <f t="shared" si="110"/>
        <v>526099845.97799993</v>
      </c>
      <c r="Y56" s="9">
        <f t="shared" si="111"/>
        <v>41.227465246269844</v>
      </c>
      <c r="Z56" s="31">
        <f>SUM([6]gtra!$F$1628)</f>
        <v>2000000</v>
      </c>
      <c r="AA56" s="7">
        <f t="shared" si="69"/>
        <v>5.1280373273566958E-2</v>
      </c>
      <c r="AB56" s="31">
        <f>SUM([6]gtra!$J$1628)</f>
        <v>0</v>
      </c>
      <c r="AC56" s="7">
        <f t="shared" si="33"/>
        <v>0</v>
      </c>
      <c r="AD56" s="8">
        <f t="shared" si="112"/>
        <v>0</v>
      </c>
      <c r="AE56" s="7">
        <f t="shared" si="34"/>
        <v>0</v>
      </c>
      <c r="AF56" s="31"/>
      <c r="AG56" s="9">
        <f t="shared" si="35"/>
        <v>0</v>
      </c>
      <c r="AH56" s="31">
        <f>SUM([6]gtra!$F$1800)</f>
        <v>0</v>
      </c>
      <c r="AI56" s="7">
        <f t="shared" si="99"/>
        <v>0</v>
      </c>
      <c r="AJ56" s="33">
        <f>SUM([6]gtra!$J$1800)</f>
        <v>0</v>
      </c>
      <c r="AK56" s="7">
        <f t="shared" si="56"/>
        <v>0</v>
      </c>
      <c r="AL56" s="8">
        <f t="shared" si="84"/>
        <v>0</v>
      </c>
      <c r="AM56" s="7">
        <f t="shared" si="58"/>
        <v>0</v>
      </c>
      <c r="AN56" s="33">
        <f>SUM([6]gtra!$N$1800)</f>
        <v>0</v>
      </c>
      <c r="AO56" s="9">
        <f t="shared" si="70"/>
        <v>0</v>
      </c>
      <c r="AP56" s="6"/>
      <c r="AQ56" s="7">
        <f t="shared" si="100"/>
        <v>0</v>
      </c>
      <c r="AR56" s="8"/>
      <c r="AS56" s="7">
        <f t="shared" si="103"/>
        <v>0</v>
      </c>
      <c r="AT56" s="8"/>
      <c r="AU56" s="7">
        <f t="shared" si="104"/>
        <v>0</v>
      </c>
      <c r="AV56" s="8"/>
      <c r="AW56" s="9">
        <f t="shared" si="71"/>
        <v>0</v>
      </c>
      <c r="AX56" s="6"/>
      <c r="AY56" s="7">
        <f t="shared" si="101"/>
        <v>0</v>
      </c>
      <c r="AZ56" s="8"/>
      <c r="BA56" s="7">
        <f t="shared" si="72"/>
        <v>0</v>
      </c>
      <c r="BB56" s="8"/>
      <c r="BC56" s="7">
        <f t="shared" si="73"/>
        <v>0</v>
      </c>
      <c r="BD56" s="8"/>
      <c r="BE56" s="9">
        <f t="shared" si="74"/>
        <v>0</v>
      </c>
      <c r="BF56" s="31">
        <f>SUM([6]gtra!$D$432)</f>
        <v>1333691324.1529999</v>
      </c>
      <c r="BG56" s="8">
        <f t="shared" si="116"/>
        <v>1278090690.6000001</v>
      </c>
      <c r="BH56" s="10">
        <f t="shared" si="94"/>
        <v>9.005934505658395</v>
      </c>
      <c r="BI56" s="6">
        <f>SUM([7]cana!$H$320)</f>
        <v>0</v>
      </c>
      <c r="BJ56" s="8">
        <f t="shared" si="113"/>
        <v>1278090690.6000001</v>
      </c>
      <c r="BK56" s="8">
        <f t="shared" si="114"/>
        <v>136320570.98800001</v>
      </c>
      <c r="BL56" s="7">
        <f t="shared" si="36"/>
        <v>10.665954457739165</v>
      </c>
      <c r="BM56" s="8">
        <f t="shared" si="114"/>
        <v>389779274.98999989</v>
      </c>
      <c r="BN56" s="7">
        <f t="shared" si="95"/>
        <v>30.496996641687286</v>
      </c>
      <c r="BO56" s="11">
        <f t="shared" si="92"/>
        <v>526099845.97799993</v>
      </c>
      <c r="BP56" s="9">
        <f t="shared" si="115"/>
        <v>41.162951099426451</v>
      </c>
    </row>
    <row r="57" spans="1:70" x14ac:dyDescent="0.2">
      <c r="A57" s="258" t="s">
        <v>74</v>
      </c>
      <c r="B57" s="31">
        <f>SUM([6]gcan!$F$434)</f>
        <v>865876.91099999985</v>
      </c>
      <c r="C57" s="7">
        <f t="shared" si="96"/>
        <v>2.5538268222248906E-2</v>
      </c>
      <c r="D57" s="33">
        <f>SUM([6]gcan!$J$434)</f>
        <v>776945.81799999997</v>
      </c>
      <c r="E57" s="7">
        <f t="shared" si="9"/>
        <v>89.729360851383205</v>
      </c>
      <c r="F57" s="8">
        <f t="shared" si="102"/>
        <v>88931.092999999993</v>
      </c>
      <c r="G57" s="7">
        <f t="shared" si="11"/>
        <v>10.270639148616818</v>
      </c>
      <c r="H57" s="33">
        <f>SUM([6]gcan!$N$434)</f>
        <v>865876.91099999996</v>
      </c>
      <c r="I57" s="9">
        <f t="shared" si="12"/>
        <v>100.00000000000003</v>
      </c>
      <c r="J57" s="31">
        <f>SUM([6]gcan!$F$885)</f>
        <v>3634123.0889999997</v>
      </c>
      <c r="K57" s="7">
        <f t="shared" si="97"/>
        <v>6.9068530620045129E-2</v>
      </c>
      <c r="L57" s="33">
        <f>SUM([6]gcan!$J$885)</f>
        <v>133850.5</v>
      </c>
      <c r="M57" s="7">
        <f t="shared" si="46"/>
        <v>3.683158129815344</v>
      </c>
      <c r="N57" s="8">
        <f t="shared" si="76"/>
        <v>521253.5</v>
      </c>
      <c r="O57" s="7">
        <f t="shared" si="48"/>
        <v>14.343308887301149</v>
      </c>
      <c r="P57" s="33">
        <f>SUM([6]gcan!$N$885)</f>
        <v>655104</v>
      </c>
      <c r="Q57" s="9">
        <f t="shared" si="49"/>
        <v>18.026467017116492</v>
      </c>
      <c r="R57" s="6">
        <f t="shared" si="105"/>
        <v>4500000</v>
      </c>
      <c r="S57" s="7">
        <f t="shared" si="98"/>
        <v>5.2010333607947996E-2</v>
      </c>
      <c r="T57" s="6">
        <f t="shared" si="106"/>
        <v>910796.31799999997</v>
      </c>
      <c r="U57" s="7">
        <f t="shared" si="107"/>
        <v>20.239918177777778</v>
      </c>
      <c r="V57" s="8">
        <f t="shared" si="108"/>
        <v>610184.59299999988</v>
      </c>
      <c r="W57" s="7">
        <f t="shared" si="109"/>
        <v>13.559657622222218</v>
      </c>
      <c r="X57" s="6">
        <f t="shared" si="110"/>
        <v>1520980.9109999998</v>
      </c>
      <c r="Y57" s="9">
        <f t="shared" si="111"/>
        <v>33.7995758</v>
      </c>
      <c r="Z57" s="31"/>
      <c r="AA57" s="7">
        <f t="shared" si="69"/>
        <v>0</v>
      </c>
      <c r="AB57" s="31"/>
      <c r="AC57" s="7">
        <f t="shared" si="33"/>
        <v>0</v>
      </c>
      <c r="AD57" s="8">
        <f t="shared" si="112"/>
        <v>0</v>
      </c>
      <c r="AE57" s="7">
        <f t="shared" si="34"/>
        <v>0</v>
      </c>
      <c r="AF57" s="31"/>
      <c r="AG57" s="9">
        <f t="shared" si="35"/>
        <v>0</v>
      </c>
      <c r="AH57" s="31">
        <f>SUM([6]gcan!$F$1800)</f>
        <v>425912.81199999998</v>
      </c>
      <c r="AI57" s="7">
        <f t="shared" si="99"/>
        <v>5.3983106650244812E-2</v>
      </c>
      <c r="AJ57" s="33">
        <f>SUM([6]gcan!$J$1800)</f>
        <v>423032.81199999998</v>
      </c>
      <c r="AK57" s="7">
        <f t="shared" si="56"/>
        <v>99.323805267449899</v>
      </c>
      <c r="AL57" s="8">
        <f t="shared" si="84"/>
        <v>2880</v>
      </c>
      <c r="AM57" s="7">
        <f t="shared" si="58"/>
        <v>0.67619473255009765</v>
      </c>
      <c r="AN57" s="33">
        <f>SUM([6]gcan!$N$1800)</f>
        <v>425912.81199999998</v>
      </c>
      <c r="AO57" s="9">
        <f t="shared" si="70"/>
        <v>100</v>
      </c>
      <c r="AP57" s="6"/>
      <c r="AQ57" s="7">
        <f t="shared" si="100"/>
        <v>0</v>
      </c>
      <c r="AR57" s="8"/>
      <c r="AS57" s="7">
        <f t="shared" si="103"/>
        <v>0</v>
      </c>
      <c r="AT57" s="8"/>
      <c r="AU57" s="7">
        <f t="shared" si="104"/>
        <v>0</v>
      </c>
      <c r="AV57" s="8"/>
      <c r="AW57" s="9">
        <f t="shared" si="71"/>
        <v>0</v>
      </c>
      <c r="AX57" s="6"/>
      <c r="AY57" s="7">
        <f t="shared" si="101"/>
        <v>0</v>
      </c>
      <c r="AZ57" s="8"/>
      <c r="BA57" s="7">
        <f t="shared" si="72"/>
        <v>0</v>
      </c>
      <c r="BB57" s="8"/>
      <c r="BC57" s="7">
        <f t="shared" si="73"/>
        <v>0</v>
      </c>
      <c r="BD57" s="8"/>
      <c r="BE57" s="9">
        <f t="shared" si="74"/>
        <v>0</v>
      </c>
      <c r="BF57" s="31">
        <f>SUM([6]gcan!$D$432)</f>
        <v>4000000</v>
      </c>
      <c r="BG57" s="8">
        <f t="shared" si="116"/>
        <v>4925912.8119999999</v>
      </c>
      <c r="BH57" s="10">
        <f t="shared" si="94"/>
        <v>3.4709937637234178E-2</v>
      </c>
      <c r="BI57" s="6">
        <f>SUM([7]eru!$H$320)</f>
        <v>0</v>
      </c>
      <c r="BJ57" s="8">
        <f t="shared" si="113"/>
        <v>4925912.8119999999</v>
      </c>
      <c r="BK57" s="8">
        <f t="shared" si="114"/>
        <v>1333829.1299999999</v>
      </c>
      <c r="BL57" s="7">
        <f t="shared" si="36"/>
        <v>27.07780630527327</v>
      </c>
      <c r="BM57" s="8">
        <f t="shared" si="114"/>
        <v>613064.59299999988</v>
      </c>
      <c r="BN57" s="7">
        <f t="shared" si="95"/>
        <v>12.445705321996671</v>
      </c>
      <c r="BO57" s="11">
        <f t="shared" si="92"/>
        <v>1946893.7229999998</v>
      </c>
      <c r="BP57" s="9">
        <f t="shared" si="115"/>
        <v>39.52351162726994</v>
      </c>
    </row>
    <row r="58" spans="1:70" x14ac:dyDescent="0.2">
      <c r="A58" s="258" t="s">
        <v>75</v>
      </c>
      <c r="B58" s="31">
        <f>SUM([6]geru!$F$434)</f>
        <v>4156508.6780000003</v>
      </c>
      <c r="C58" s="7">
        <f t="shared" si="96"/>
        <v>0.12259252110588875</v>
      </c>
      <c r="D58" s="33">
        <f>SUM([6]geru!$J$434)</f>
        <v>2005369.51</v>
      </c>
      <c r="E58" s="7">
        <f t="shared" si="9"/>
        <v>48.246489189694884</v>
      </c>
      <c r="F58" s="8">
        <f t="shared" si="102"/>
        <v>2112787.5810000002</v>
      </c>
      <c r="G58" s="7">
        <f t="shared" si="11"/>
        <v>50.830823286446659</v>
      </c>
      <c r="H58" s="33">
        <f>SUM([6]geru!$N$434)</f>
        <v>4118157.091</v>
      </c>
      <c r="I58" s="9">
        <f t="shared" si="12"/>
        <v>99.077312476141543</v>
      </c>
      <c r="J58" s="31">
        <f>SUM([6]geru!$F$885)</f>
        <v>3710280.8879999998</v>
      </c>
      <c r="K58" s="7">
        <f t="shared" si="97"/>
        <v>7.0515951949308403E-2</v>
      </c>
      <c r="L58" s="33">
        <f>SUM([6]geru!$J$885)</f>
        <v>1075686.736</v>
      </c>
      <c r="M58" s="7">
        <f t="shared" si="46"/>
        <v>28.992056625120945</v>
      </c>
      <c r="N58" s="8">
        <f t="shared" si="76"/>
        <v>317304.70700000017</v>
      </c>
      <c r="O58" s="7">
        <f t="shared" si="48"/>
        <v>8.5520400362744766</v>
      </c>
      <c r="P58" s="33">
        <f>SUM([6]geru!$N$885)</f>
        <v>1392991.4430000002</v>
      </c>
      <c r="Q58" s="9">
        <f t="shared" si="49"/>
        <v>37.544096661395422</v>
      </c>
      <c r="R58" s="6">
        <f t="shared" si="105"/>
        <v>7866789.5659999996</v>
      </c>
      <c r="S58" s="7">
        <f t="shared" si="98"/>
        <v>9.0923188833596527E-2</v>
      </c>
      <c r="T58" s="6">
        <f t="shared" si="106"/>
        <v>3081056.2460000003</v>
      </c>
      <c r="U58" s="7">
        <f t="shared" si="107"/>
        <v>39.165357356401422</v>
      </c>
      <c r="V58" s="8">
        <f t="shared" si="108"/>
        <v>2430092.2879999997</v>
      </c>
      <c r="W58" s="7">
        <f t="shared" si="109"/>
        <v>30.890521064689167</v>
      </c>
      <c r="X58" s="6">
        <f t="shared" si="110"/>
        <v>5511148.534</v>
      </c>
      <c r="Y58" s="9">
        <f t="shared" si="111"/>
        <v>70.055878421090583</v>
      </c>
      <c r="Z58" s="31"/>
      <c r="AA58" s="7">
        <f t="shared" si="69"/>
        <v>0</v>
      </c>
      <c r="AB58" s="31"/>
      <c r="AC58" s="7">
        <f t="shared" si="33"/>
        <v>0</v>
      </c>
      <c r="AD58" s="8">
        <f t="shared" si="112"/>
        <v>0</v>
      </c>
      <c r="AE58" s="7">
        <f t="shared" si="34"/>
        <v>0</v>
      </c>
      <c r="AF58" s="31"/>
      <c r="AG58" s="9">
        <f t="shared" si="35"/>
        <v>0</v>
      </c>
      <c r="AH58" s="31">
        <f>SUM([6]geru!$F$1800)</f>
        <v>4877459.1689999998</v>
      </c>
      <c r="AI58" s="7">
        <f t="shared" si="99"/>
        <v>0.61820257828341973</v>
      </c>
      <c r="AJ58" s="33">
        <f>SUM([6]geru!$J$1800)</f>
        <v>1083070.3419999999</v>
      </c>
      <c r="AK58" s="7">
        <f t="shared" si="56"/>
        <v>22.205626012899177</v>
      </c>
      <c r="AL58" s="8">
        <f t="shared" si="84"/>
        <v>3607043.557</v>
      </c>
      <c r="AM58" s="7">
        <f t="shared" si="58"/>
        <v>73.953331683954076</v>
      </c>
      <c r="AN58" s="33">
        <f>SUM([6]geru!$N$1800)</f>
        <v>4690113.8990000002</v>
      </c>
      <c r="AO58" s="9">
        <f t="shared" si="70"/>
        <v>96.15895769685325</v>
      </c>
      <c r="AP58" s="6"/>
      <c r="AQ58" s="7">
        <f t="shared" si="100"/>
        <v>0</v>
      </c>
      <c r="AR58" s="8"/>
      <c r="AS58" s="7">
        <f t="shared" si="103"/>
        <v>0</v>
      </c>
      <c r="AT58" s="8"/>
      <c r="AU58" s="7">
        <f t="shared" si="104"/>
        <v>0</v>
      </c>
      <c r="AV58" s="8"/>
      <c r="AW58" s="9">
        <f t="shared" si="71"/>
        <v>0</v>
      </c>
      <c r="AX58" s="6"/>
      <c r="AY58" s="7">
        <f t="shared" si="101"/>
        <v>0</v>
      </c>
      <c r="AZ58" s="8"/>
      <c r="BA58" s="7">
        <f t="shared" si="72"/>
        <v>0</v>
      </c>
      <c r="BB58" s="8"/>
      <c r="BC58" s="7">
        <f t="shared" si="73"/>
        <v>0</v>
      </c>
      <c r="BD58" s="8"/>
      <c r="BE58" s="9">
        <f t="shared" si="74"/>
        <v>0</v>
      </c>
      <c r="BF58" s="31">
        <f>SUM([6]geru!$D$432)</f>
        <v>12818548.259</v>
      </c>
      <c r="BG58" s="8">
        <f t="shared" si="116"/>
        <v>12744248.734999999</v>
      </c>
      <c r="BH58" s="10">
        <f t="shared" si="94"/>
        <v>8.9801037027622196E-2</v>
      </c>
      <c r="BI58" s="6">
        <f>SUM([7]metr!$H$320)</f>
        <v>0</v>
      </c>
      <c r="BJ58" s="8">
        <f t="shared" si="113"/>
        <v>12744248.734999999</v>
      </c>
      <c r="BK58" s="8">
        <f t="shared" si="114"/>
        <v>4164126.5880000005</v>
      </c>
      <c r="BL58" s="7">
        <f t="shared" si="36"/>
        <v>32.674555202017572</v>
      </c>
      <c r="BM58" s="8">
        <f t="shared" si="114"/>
        <v>6037135.8449999997</v>
      </c>
      <c r="BN58" s="7">
        <f t="shared" si="95"/>
        <v>47.371453355426056</v>
      </c>
      <c r="BO58" s="11">
        <f t="shared" si="92"/>
        <v>10201262.433</v>
      </c>
      <c r="BP58" s="9">
        <f t="shared" si="115"/>
        <v>80.046008557443628</v>
      </c>
    </row>
    <row r="59" spans="1:70" s="24" customFormat="1" x14ac:dyDescent="0.2">
      <c r="A59" s="258" t="s">
        <v>76</v>
      </c>
      <c r="B59" s="31">
        <f>SUM([6]gmet!$F$434)</f>
        <v>4963868.7250000015</v>
      </c>
      <c r="C59" s="20">
        <f t="shared" si="96"/>
        <v>0.14640488654753234</v>
      </c>
      <c r="D59" s="33">
        <f>SUM([6]gmet!$J$434)</f>
        <v>3756191.852</v>
      </c>
      <c r="E59" s="20">
        <f t="shared" si="9"/>
        <v>75.670652470770136</v>
      </c>
      <c r="F59" s="8">
        <f t="shared" si="102"/>
        <v>1193490.2990000006</v>
      </c>
      <c r="G59" s="20">
        <f t="shared" si="11"/>
        <v>24.043550809253126</v>
      </c>
      <c r="H59" s="33">
        <f>SUM([6]gmet!$N$434)</f>
        <v>4949682.1510000005</v>
      </c>
      <c r="I59" s="22">
        <f t="shared" si="12"/>
        <v>99.714203280023256</v>
      </c>
      <c r="J59" s="31">
        <f>SUM([6]gmet!$F$885)</f>
        <v>26713905.491999999</v>
      </c>
      <c r="K59" s="20">
        <f t="shared" si="97"/>
        <v>0.50771263225509145</v>
      </c>
      <c r="L59" s="33">
        <f>SUM([6]gmet!$J$885)</f>
        <v>1026699.481</v>
      </c>
      <c r="M59" s="20">
        <f t="shared" si="46"/>
        <v>3.8433147908959442</v>
      </c>
      <c r="N59" s="8">
        <f t="shared" si="76"/>
        <v>1626475.3339999993</v>
      </c>
      <c r="O59" s="20">
        <f t="shared" si="48"/>
        <v>6.0884969982658621</v>
      </c>
      <c r="P59" s="33">
        <f>SUM([6]gmet!$N$885)</f>
        <v>2653174.8149999995</v>
      </c>
      <c r="Q59" s="22">
        <f t="shared" si="49"/>
        <v>9.9318117891618076</v>
      </c>
      <c r="R59" s="6">
        <f t="shared" si="105"/>
        <v>31677774.217</v>
      </c>
      <c r="S59" s="7">
        <f t="shared" si="98"/>
        <v>0.36612702332964964</v>
      </c>
      <c r="T59" s="6">
        <f t="shared" si="106"/>
        <v>4782891.3329999996</v>
      </c>
      <c r="U59" s="7">
        <f t="shared" si="107"/>
        <v>15.09857132081345</v>
      </c>
      <c r="V59" s="8">
        <f t="shared" si="108"/>
        <v>2819965.6330000004</v>
      </c>
      <c r="W59" s="7">
        <f t="shared" si="109"/>
        <v>8.9020321114816667</v>
      </c>
      <c r="X59" s="6">
        <f t="shared" si="110"/>
        <v>7602856.966</v>
      </c>
      <c r="Y59" s="9">
        <f t="shared" si="111"/>
        <v>24.000603432295119</v>
      </c>
      <c r="Z59" s="31"/>
      <c r="AA59" s="20">
        <f t="shared" si="69"/>
        <v>0</v>
      </c>
      <c r="AB59" s="31"/>
      <c r="AC59" s="20">
        <f t="shared" si="33"/>
        <v>0</v>
      </c>
      <c r="AD59" s="8">
        <f t="shared" si="112"/>
        <v>0</v>
      </c>
      <c r="AE59" s="20">
        <f t="shared" si="34"/>
        <v>0</v>
      </c>
      <c r="AF59" s="31"/>
      <c r="AG59" s="22">
        <f t="shared" si="35"/>
        <v>0</v>
      </c>
      <c r="AH59" s="31">
        <f>SUM([6]gmet!$F$1800)</f>
        <v>12010343.987</v>
      </c>
      <c r="AI59" s="20">
        <f t="shared" si="99"/>
        <v>1.5222732495690867</v>
      </c>
      <c r="AJ59" s="33">
        <f>SUM([6]gmet!$J$1800)</f>
        <v>8330839.71</v>
      </c>
      <c r="AK59" s="20">
        <f t="shared" si="56"/>
        <v>69.363872666905323</v>
      </c>
      <c r="AL59" s="8">
        <f t="shared" si="84"/>
        <v>3565226.8140000002</v>
      </c>
      <c r="AM59" s="20">
        <f t="shared" si="58"/>
        <v>29.684635326506907</v>
      </c>
      <c r="AN59" s="33">
        <f>SUM([6]gmet!$N$1800)</f>
        <v>11896066.524</v>
      </c>
      <c r="AO59" s="22">
        <f t="shared" si="70"/>
        <v>99.048507993412244</v>
      </c>
      <c r="AP59" s="19"/>
      <c r="AQ59" s="20">
        <f t="shared" si="100"/>
        <v>0</v>
      </c>
      <c r="AR59" s="21"/>
      <c r="AS59" s="20">
        <f t="shared" si="103"/>
        <v>0</v>
      </c>
      <c r="AT59" s="8"/>
      <c r="AU59" s="20">
        <f t="shared" si="104"/>
        <v>0</v>
      </c>
      <c r="AV59" s="21"/>
      <c r="AW59" s="22">
        <f t="shared" si="71"/>
        <v>0</v>
      </c>
      <c r="AX59" s="19"/>
      <c r="AY59" s="20">
        <f t="shared" si="101"/>
        <v>0</v>
      </c>
      <c r="AZ59" s="21"/>
      <c r="BA59" s="20">
        <f t="shared" si="72"/>
        <v>0</v>
      </c>
      <c r="BB59" s="8"/>
      <c r="BC59" s="20">
        <f t="shared" si="73"/>
        <v>0</v>
      </c>
      <c r="BD59" s="21"/>
      <c r="BE59" s="22">
        <f t="shared" si="74"/>
        <v>0</v>
      </c>
      <c r="BF59" s="31">
        <f>SUM([6]gmet!$D$432)</f>
        <v>78056818.034000009</v>
      </c>
      <c r="BG59" s="8">
        <f t="shared" si="116"/>
        <v>43688118.203999996</v>
      </c>
      <c r="BH59" s="23">
        <f t="shared" si="94"/>
        <v>0.30784382838746743</v>
      </c>
      <c r="BI59" s="19" t="e">
        <f>SUM(BI52:BI58)</f>
        <v>#REF!</v>
      </c>
      <c r="BJ59" s="21" t="e">
        <f>SUM(BJ52:BJ58)</f>
        <v>#REF!</v>
      </c>
      <c r="BK59" s="8">
        <f t="shared" si="114"/>
        <v>13113731.043</v>
      </c>
      <c r="BL59" s="20">
        <f t="shared" si="36"/>
        <v>30.016699235627257</v>
      </c>
      <c r="BM59" s="8">
        <f t="shared" si="114"/>
        <v>6385192.4470000006</v>
      </c>
      <c r="BN59" s="20">
        <f t="shared" si="95"/>
        <v>14.615398212357395</v>
      </c>
      <c r="BO59" s="11">
        <f t="shared" si="92"/>
        <v>19498923.490000002</v>
      </c>
      <c r="BP59" s="22">
        <f>IF(OR(BO59=0,BG59=0),0,BO59/BG59)*100</f>
        <v>44.632097447984656</v>
      </c>
    </row>
    <row r="60" spans="1:70" s="17" customFormat="1" ht="16.5" thickBot="1" x14ac:dyDescent="0.3">
      <c r="A60" s="82" t="s">
        <v>77</v>
      </c>
      <c r="B60" s="26">
        <f>SUM(B53:B59)</f>
        <v>747761080.96100008</v>
      </c>
      <c r="C60" s="27">
        <f t="shared" si="96"/>
        <v>22.054547025265126</v>
      </c>
      <c r="D60" s="28">
        <f>SUM(D53:D59)</f>
        <v>136065722.7123</v>
      </c>
      <c r="E60" s="27">
        <f t="shared" si="9"/>
        <v>18.196416766894639</v>
      </c>
      <c r="F60" s="28">
        <f t="shared" ref="F60:F82" si="117">SUM(H60-D60)</f>
        <v>611642820.08369994</v>
      </c>
      <c r="G60" s="27">
        <f t="shared" si="11"/>
        <v>81.7965571700569</v>
      </c>
      <c r="H60" s="28">
        <f>SUM(H53:H59)</f>
        <v>747708542.79599988</v>
      </c>
      <c r="I60" s="29">
        <f t="shared" si="12"/>
        <v>99.992973936951529</v>
      </c>
      <c r="J60" s="26">
        <f>SUM(J53:J59)</f>
        <v>1053022444.577</v>
      </c>
      <c r="K60" s="27">
        <f t="shared" si="97"/>
        <v>20.013277254424146</v>
      </c>
      <c r="L60" s="28">
        <f>SUM(L53:L59)</f>
        <v>36841306.234000005</v>
      </c>
      <c r="M60" s="27">
        <f t="shared" si="46"/>
        <v>3.4986249745891396</v>
      </c>
      <c r="N60" s="28">
        <f t="shared" si="76"/>
        <v>56807212.921999998</v>
      </c>
      <c r="O60" s="27">
        <f t="shared" si="48"/>
        <v>5.3946820615793714</v>
      </c>
      <c r="P60" s="28">
        <f>SUM(P53:P59)</f>
        <v>93648519.156000003</v>
      </c>
      <c r="Q60" s="29">
        <f t="shared" si="49"/>
        <v>8.8933070361685118</v>
      </c>
      <c r="R60" s="26">
        <f>SUM(R53:R59)</f>
        <v>1800783525.5380001</v>
      </c>
      <c r="S60" s="27">
        <f t="shared" si="98"/>
        <v>20.813189315317359</v>
      </c>
      <c r="T60" s="28">
        <f>SUM(T53:T59)</f>
        <v>172907028.9463</v>
      </c>
      <c r="U60" s="27">
        <f t="shared" si="107"/>
        <v>9.6017664807680028</v>
      </c>
      <c r="V60" s="28">
        <f t="shared" si="108"/>
        <v>668450033.00569987</v>
      </c>
      <c r="W60" s="27">
        <f t="shared" si="109"/>
        <v>37.119954926619755</v>
      </c>
      <c r="X60" s="28">
        <f>SUM(X53:X59)</f>
        <v>841357061.9519999</v>
      </c>
      <c r="Y60" s="29">
        <f t="shared" si="111"/>
        <v>46.721721407387761</v>
      </c>
      <c r="Z60" s="26">
        <f>SUM(Z53:Z59)</f>
        <v>158489747.72099999</v>
      </c>
      <c r="AA60" s="27">
        <f t="shared" si="69"/>
        <v>4.0637067115831691</v>
      </c>
      <c r="AB60" s="28">
        <f>SUM(AB53:AB59)</f>
        <v>4449789.9330000002</v>
      </c>
      <c r="AC60" s="27">
        <f t="shared" si="33"/>
        <v>2.8076200492370402</v>
      </c>
      <c r="AD60" s="28">
        <f t="shared" si="112"/>
        <v>34434034.881999999</v>
      </c>
      <c r="AE60" s="27">
        <f t="shared" si="34"/>
        <v>21.726348471837127</v>
      </c>
      <c r="AF60" s="28">
        <f>SUM(AF53:AF59)</f>
        <v>38883824.814999998</v>
      </c>
      <c r="AG60" s="29">
        <f t="shared" si="35"/>
        <v>24.533968521074168</v>
      </c>
      <c r="AH60" s="26">
        <f>SUM(AH53:AH59)</f>
        <v>474712538.79999995</v>
      </c>
      <c r="AI60" s="27">
        <f t="shared" si="99"/>
        <v>60.168318229057824</v>
      </c>
      <c r="AJ60" s="28">
        <f>SUM(AJ53:AJ59)</f>
        <v>211393691.11600003</v>
      </c>
      <c r="AK60" s="27">
        <f t="shared" si="56"/>
        <v>44.530884237937059</v>
      </c>
      <c r="AL60" s="28">
        <f t="shared" si="84"/>
        <v>257099679.50499991</v>
      </c>
      <c r="AM60" s="27">
        <f t="shared" si="58"/>
        <v>54.159024355014566</v>
      </c>
      <c r="AN60" s="28">
        <f>SUM(AN53:AN59)</f>
        <v>468493370.62099993</v>
      </c>
      <c r="AO60" s="29">
        <f t="shared" si="70"/>
        <v>98.68990859295161</v>
      </c>
      <c r="AP60" s="26"/>
      <c r="AQ60" s="27">
        <f t="shared" si="100"/>
        <v>0</v>
      </c>
      <c r="AR60" s="28"/>
      <c r="AS60" s="27">
        <f t="shared" si="103"/>
        <v>0</v>
      </c>
      <c r="AT60" s="28"/>
      <c r="AU60" s="27">
        <f t="shared" si="104"/>
        <v>0</v>
      </c>
      <c r="AV60" s="28"/>
      <c r="AW60" s="29">
        <f t="shared" si="71"/>
        <v>0</v>
      </c>
      <c r="AX60" s="26"/>
      <c r="AY60" s="27">
        <f t="shared" si="101"/>
        <v>0</v>
      </c>
      <c r="AZ60" s="28"/>
      <c r="BA60" s="27">
        <f t="shared" si="72"/>
        <v>0</v>
      </c>
      <c r="BB60" s="28"/>
      <c r="BC60" s="27">
        <f t="shared" si="73"/>
        <v>0</v>
      </c>
      <c r="BD60" s="28"/>
      <c r="BE60" s="29">
        <f t="shared" si="74"/>
        <v>0</v>
      </c>
      <c r="BF60" s="26">
        <f>SUM(BF53:BF59)</f>
        <v>2291035409.0789995</v>
      </c>
      <c r="BG60" s="26">
        <f>SUM(BG53:BG59)</f>
        <v>2433985812.0590005</v>
      </c>
      <c r="BH60" s="30">
        <f t="shared" si="94"/>
        <v>17.150830510168742</v>
      </c>
      <c r="BI60" s="26">
        <f>SUM([8]vic!$H$320)</f>
        <v>0</v>
      </c>
      <c r="BJ60" s="28">
        <f t="shared" ref="BJ60:BJ82" si="118">SUM(BG60-BI60)</f>
        <v>2433985812.0590005</v>
      </c>
      <c r="BK60" s="26">
        <f>SUM(BK53:BK59)</f>
        <v>388750509.99529999</v>
      </c>
      <c r="BL60" s="27">
        <f t="shared" si="36"/>
        <v>15.971765655710263</v>
      </c>
      <c r="BM60" s="26">
        <f>SUM(BM53:BM59)</f>
        <v>959983747.39269996</v>
      </c>
      <c r="BN60" s="27">
        <f t="shared" si="95"/>
        <v>39.440811143455825</v>
      </c>
      <c r="BO60" s="26">
        <f>SUM(BO53:BO59)</f>
        <v>1348734257.388</v>
      </c>
      <c r="BP60" s="29">
        <f t="shared" ref="BP60:BP84" si="119">IF(OR(BO60=0,BG60=0),0,BO60/BG60)*100</f>
        <v>55.412576799166089</v>
      </c>
      <c r="BQ60" s="273"/>
    </row>
    <row r="61" spans="1:70" x14ac:dyDescent="0.2">
      <c r="A61" s="259" t="s">
        <v>354</v>
      </c>
      <c r="B61" s="31">
        <f>SUM('[9]403'!$F$434)</f>
        <v>0</v>
      </c>
      <c r="C61" s="32">
        <f t="shared" si="96"/>
        <v>0</v>
      </c>
      <c r="D61" s="33">
        <f>SUM('[9]403'!$J$434)</f>
        <v>0</v>
      </c>
      <c r="E61" s="32">
        <f t="shared" si="9"/>
        <v>0</v>
      </c>
      <c r="F61" s="33">
        <f t="shared" si="117"/>
        <v>0</v>
      </c>
      <c r="G61" s="32">
        <f t="shared" si="11"/>
        <v>0</v>
      </c>
      <c r="H61" s="33">
        <f>SUM('[9]403'!$N$434)</f>
        <v>0</v>
      </c>
      <c r="I61" s="34">
        <f t="shared" si="12"/>
        <v>0</v>
      </c>
      <c r="J61" s="31">
        <f>SUM('[9]403'!$F$885)</f>
        <v>700000</v>
      </c>
      <c r="K61" s="32">
        <f t="shared" si="97"/>
        <v>1.3303889342761773E-2</v>
      </c>
      <c r="L61" s="33">
        <f>SUM('[9]403'!$J$885)</f>
        <v>0</v>
      </c>
      <c r="M61" s="32">
        <f t="shared" si="46"/>
        <v>0</v>
      </c>
      <c r="N61" s="33">
        <f t="shared" si="76"/>
        <v>0</v>
      </c>
      <c r="O61" s="32">
        <f t="shared" si="48"/>
        <v>0</v>
      </c>
      <c r="P61" s="33">
        <f>SUM('[9]403'!$N$885)</f>
        <v>0</v>
      </c>
      <c r="Q61" s="271"/>
      <c r="R61" s="6">
        <f t="shared" ref="R61:R82" si="120">SUM(B61+J61)</f>
        <v>700000</v>
      </c>
      <c r="S61" s="7">
        <f t="shared" si="98"/>
        <v>8.0904963390141318E-3</v>
      </c>
      <c r="T61" s="6">
        <f t="shared" ref="T61:T82" si="121">SUM(D61+L61)</f>
        <v>0</v>
      </c>
      <c r="U61" s="7">
        <f t="shared" ref="U61:U84" si="122">IF(OR(T61=0,R61=0),0,T61/R61)*100</f>
        <v>0</v>
      </c>
      <c r="V61" s="8">
        <f t="shared" ref="V61:V82" si="123">SUM(X61-T61)</f>
        <v>0</v>
      </c>
      <c r="W61" s="7">
        <f t="shared" ref="W61:W84" si="124">IF(OR(V61=0,R61=0),0,V61/R61)*100</f>
        <v>0</v>
      </c>
      <c r="X61" s="6">
        <f t="shared" ref="X61:X82" si="125">SUM(H61+P61)</f>
        <v>0</v>
      </c>
      <c r="Y61" s="9">
        <f t="shared" ref="Y61:Y84" si="126">IF(OR(X61=0,R61=0),0,X61/R61)*100</f>
        <v>0</v>
      </c>
      <c r="Z61" s="31"/>
      <c r="AA61" s="32">
        <f t="shared" si="69"/>
        <v>0</v>
      </c>
      <c r="AB61" s="33"/>
      <c r="AC61" s="32">
        <f t="shared" si="33"/>
        <v>0</v>
      </c>
      <c r="AD61" s="33"/>
      <c r="AE61" s="32">
        <f t="shared" si="34"/>
        <v>0</v>
      </c>
      <c r="AF61" s="33"/>
      <c r="AG61" s="34">
        <f t="shared" si="35"/>
        <v>0</v>
      </c>
      <c r="AH61" s="31">
        <f>SUM('[9]403'!$F$1800)</f>
        <v>0</v>
      </c>
      <c r="AI61" s="32">
        <f t="shared" si="99"/>
        <v>0</v>
      </c>
      <c r="AJ61" s="33">
        <f>SUM('[9]403'!$J$1800)</f>
        <v>0</v>
      </c>
      <c r="AK61" s="32">
        <f t="shared" si="56"/>
        <v>0</v>
      </c>
      <c r="AL61" s="33">
        <f t="shared" si="84"/>
        <v>0</v>
      </c>
      <c r="AM61" s="32">
        <f t="shared" si="58"/>
        <v>0</v>
      </c>
      <c r="AN61" s="33">
        <f>SUM('[9]403'!$N$1800)</f>
        <v>0</v>
      </c>
      <c r="AO61" s="34">
        <f t="shared" si="70"/>
        <v>0</v>
      </c>
      <c r="AP61" s="31"/>
      <c r="AQ61" s="32">
        <f t="shared" si="100"/>
        <v>0</v>
      </c>
      <c r="AR61" s="33"/>
      <c r="AS61" s="32">
        <f t="shared" si="103"/>
        <v>0</v>
      </c>
      <c r="AT61" s="33"/>
      <c r="AU61" s="32">
        <f t="shared" si="104"/>
        <v>0</v>
      </c>
      <c r="AV61" s="33"/>
      <c r="AW61" s="34">
        <f t="shared" si="71"/>
        <v>0</v>
      </c>
      <c r="AX61" s="31"/>
      <c r="AY61" s="32">
        <f t="shared" si="101"/>
        <v>0</v>
      </c>
      <c r="AZ61" s="33"/>
      <c r="BA61" s="32">
        <f t="shared" si="72"/>
        <v>0</v>
      </c>
      <c r="BB61" s="33"/>
      <c r="BC61" s="32">
        <f t="shared" si="73"/>
        <v>0</v>
      </c>
      <c r="BD61" s="33"/>
      <c r="BE61" s="34">
        <f t="shared" si="74"/>
        <v>0</v>
      </c>
      <c r="BF61" s="31">
        <f>SUM('[9]403'!$D$432)</f>
        <v>0</v>
      </c>
      <c r="BG61" s="33">
        <f t="shared" ref="BG61:BG82" si="127">SUM(B61+Z61+AH61+AP61)</f>
        <v>0</v>
      </c>
      <c r="BH61" s="35">
        <f t="shared" si="94"/>
        <v>0</v>
      </c>
      <c r="BI61" s="31">
        <f>SUM([8]tun!$H$320)</f>
        <v>0</v>
      </c>
      <c r="BJ61" s="33">
        <f t="shared" si="118"/>
        <v>0</v>
      </c>
      <c r="BK61" s="33">
        <f t="shared" ref="BK61:BK82" si="128">SUM(D61+AB61+AJ61+AR61)</f>
        <v>0</v>
      </c>
      <c r="BL61" s="32">
        <f t="shared" si="36"/>
        <v>0</v>
      </c>
      <c r="BM61" s="33">
        <f t="shared" ref="BM61:BM82" si="129">SUM(F61+AD61+AL61+AT61+BB61)</f>
        <v>0</v>
      </c>
      <c r="BN61" s="32">
        <f t="shared" si="95"/>
        <v>0</v>
      </c>
      <c r="BO61" s="36">
        <f t="shared" ref="BO61:BO82" si="130">SUM(BK61+BM61)</f>
        <v>0</v>
      </c>
      <c r="BP61" s="34">
        <f t="shared" si="119"/>
        <v>0</v>
      </c>
    </row>
    <row r="62" spans="1:70" x14ac:dyDescent="0.2">
      <c r="A62" s="81" t="s">
        <v>355</v>
      </c>
      <c r="B62" s="31">
        <f>SUM('[9]402'!$F$434)</f>
        <v>0</v>
      </c>
      <c r="C62" s="7">
        <f t="shared" si="96"/>
        <v>0</v>
      </c>
      <c r="D62" s="33">
        <f>SUM('[9]402'!$J$434)</f>
        <v>0</v>
      </c>
      <c r="E62" s="7">
        <f t="shared" si="9"/>
        <v>0</v>
      </c>
      <c r="F62" s="8">
        <f t="shared" si="117"/>
        <v>0</v>
      </c>
      <c r="G62" s="7">
        <f t="shared" si="11"/>
        <v>0</v>
      </c>
      <c r="H62" s="33">
        <f>SUM('[9]402'!$N$434)</f>
        <v>0</v>
      </c>
      <c r="I62" s="9">
        <f t="shared" si="12"/>
        <v>0</v>
      </c>
      <c r="J62" s="31">
        <f>SUM('[9]402'!$F$885)</f>
        <v>0</v>
      </c>
      <c r="K62" s="7">
        <f t="shared" si="97"/>
        <v>0</v>
      </c>
      <c r="L62" s="33">
        <f>SUM('[9]402'!$J$885)</f>
        <v>0</v>
      </c>
      <c r="M62" s="7">
        <f t="shared" si="46"/>
        <v>0</v>
      </c>
      <c r="N62" s="8">
        <f t="shared" si="76"/>
        <v>0</v>
      </c>
      <c r="O62" s="7">
        <f t="shared" si="48"/>
        <v>0</v>
      </c>
      <c r="P62" s="33">
        <f>SUM('[9]402'!$N$885)</f>
        <v>0</v>
      </c>
      <c r="Q62" s="269"/>
      <c r="R62" s="6">
        <f t="shared" si="120"/>
        <v>0</v>
      </c>
      <c r="S62" s="7">
        <f t="shared" si="98"/>
        <v>0</v>
      </c>
      <c r="T62" s="6">
        <f t="shared" si="121"/>
        <v>0</v>
      </c>
      <c r="U62" s="7">
        <f t="shared" si="122"/>
        <v>0</v>
      </c>
      <c r="V62" s="8">
        <f t="shared" si="123"/>
        <v>0</v>
      </c>
      <c r="W62" s="7">
        <f t="shared" si="124"/>
        <v>0</v>
      </c>
      <c r="X62" s="6">
        <f t="shared" si="125"/>
        <v>0</v>
      </c>
      <c r="Y62" s="9">
        <f t="shared" si="126"/>
        <v>0</v>
      </c>
      <c r="Z62" s="6"/>
      <c r="AA62" s="7">
        <f t="shared" si="69"/>
        <v>0</v>
      </c>
      <c r="AB62" s="8"/>
      <c r="AC62" s="7">
        <f t="shared" si="33"/>
        <v>0</v>
      </c>
      <c r="AD62" s="8"/>
      <c r="AE62" s="7">
        <f t="shared" si="34"/>
        <v>0</v>
      </c>
      <c r="AF62" s="8"/>
      <c r="AG62" s="9">
        <f t="shared" si="35"/>
        <v>0</v>
      </c>
      <c r="AH62" s="31">
        <f>SUM('[9]402'!$F$1800)</f>
        <v>999791.598</v>
      </c>
      <c r="AI62" s="7">
        <f t="shared" si="99"/>
        <v>0.12672043418795462</v>
      </c>
      <c r="AJ62" s="33">
        <f>SUM('[9]402'!$J$1800)</f>
        <v>514836.95199999999</v>
      </c>
      <c r="AK62" s="7">
        <f t="shared" si="56"/>
        <v>51.494426741521778</v>
      </c>
      <c r="AL62" s="8">
        <f t="shared" si="84"/>
        <v>484954.64600000001</v>
      </c>
      <c r="AM62" s="7">
        <f t="shared" si="58"/>
        <v>48.505573258478215</v>
      </c>
      <c r="AN62" s="33">
        <f>SUM('[9]402'!$N$1800)</f>
        <v>999791.598</v>
      </c>
      <c r="AO62" s="9">
        <f t="shared" si="70"/>
        <v>100</v>
      </c>
      <c r="AP62" s="6"/>
      <c r="AQ62" s="7">
        <f t="shared" si="100"/>
        <v>0</v>
      </c>
      <c r="AR62" s="8"/>
      <c r="AS62" s="7">
        <f t="shared" si="103"/>
        <v>0</v>
      </c>
      <c r="AT62" s="8"/>
      <c r="AU62" s="7">
        <f t="shared" si="104"/>
        <v>0</v>
      </c>
      <c r="AV62" s="8"/>
      <c r="AW62" s="9">
        <f t="shared" si="71"/>
        <v>0</v>
      </c>
      <c r="AX62" s="6"/>
      <c r="AY62" s="7">
        <f t="shared" si="101"/>
        <v>0</v>
      </c>
      <c r="AZ62" s="8"/>
      <c r="BA62" s="7">
        <f t="shared" si="72"/>
        <v>0</v>
      </c>
      <c r="BB62" s="8"/>
      <c r="BC62" s="7">
        <f t="shared" si="73"/>
        <v>0</v>
      </c>
      <c r="BD62" s="8"/>
      <c r="BE62" s="9">
        <f t="shared" si="74"/>
        <v>0</v>
      </c>
      <c r="BF62" s="31">
        <f>SUM('[9]402'!$D$432)</f>
        <v>529000</v>
      </c>
      <c r="BG62" s="8">
        <f t="shared" si="127"/>
        <v>999791.598</v>
      </c>
      <c r="BH62" s="10">
        <f t="shared" si="94"/>
        <v>7.0449285931881624E-3</v>
      </c>
      <c r="BI62" s="6">
        <f>SUM([8]sim!$H$320)</f>
        <v>0</v>
      </c>
      <c r="BJ62" s="8">
        <f t="shared" si="118"/>
        <v>999791.598</v>
      </c>
      <c r="BK62" s="8">
        <f t="shared" si="128"/>
        <v>514836.95199999999</v>
      </c>
      <c r="BL62" s="7">
        <f t="shared" si="36"/>
        <v>51.494426741521778</v>
      </c>
      <c r="BM62" s="8">
        <f t="shared" si="129"/>
        <v>484954.64600000001</v>
      </c>
      <c r="BN62" s="7">
        <f t="shared" si="95"/>
        <v>48.505573258478215</v>
      </c>
      <c r="BO62" s="11">
        <f t="shared" si="130"/>
        <v>999791.598</v>
      </c>
      <c r="BP62" s="9">
        <f t="shared" si="119"/>
        <v>100</v>
      </c>
    </row>
    <row r="63" spans="1:70" x14ac:dyDescent="0.2">
      <c r="A63" s="81" t="s">
        <v>356</v>
      </c>
      <c r="B63" s="31">
        <f>SUM('[9]406'!$F$434)</f>
        <v>174115.38300000003</v>
      </c>
      <c r="C63" s="7">
        <f t="shared" si="96"/>
        <v>5.135378130753274E-3</v>
      </c>
      <c r="D63" s="33">
        <f>SUM('[9]406'!$J$434)</f>
        <v>33729.271999999997</v>
      </c>
      <c r="E63" s="7">
        <f t="shared" si="9"/>
        <v>19.371793243564237</v>
      </c>
      <c r="F63" s="8">
        <f t="shared" si="117"/>
        <v>140386.111</v>
      </c>
      <c r="G63" s="7">
        <f t="shared" si="11"/>
        <v>80.628206756435745</v>
      </c>
      <c r="H63" s="33">
        <f>SUM('[9]406'!$N$434)</f>
        <v>174115.383</v>
      </c>
      <c r="I63" s="9">
        <f t="shared" si="12"/>
        <v>99.999999999999972</v>
      </c>
      <c r="J63" s="31">
        <f>SUM('[9]406'!$F$885)</f>
        <v>2408821.0959999999</v>
      </c>
      <c r="K63" s="7">
        <f t="shared" si="97"/>
        <v>4.5780984725277335E-2</v>
      </c>
      <c r="L63" s="33">
        <f>SUM('[9]406'!$J$885)</f>
        <v>0</v>
      </c>
      <c r="M63" s="7">
        <f t="shared" si="46"/>
        <v>0</v>
      </c>
      <c r="N63" s="8">
        <f t="shared" si="76"/>
        <v>0</v>
      </c>
      <c r="O63" s="7">
        <f t="shared" si="48"/>
        <v>0</v>
      </c>
      <c r="P63" s="33">
        <f>SUM('[9]406'!$N$885)</f>
        <v>0</v>
      </c>
      <c r="Q63" s="269"/>
      <c r="R63" s="6">
        <f t="shared" si="120"/>
        <v>2582936.4789999998</v>
      </c>
      <c r="S63" s="7">
        <f t="shared" si="98"/>
        <v>2.9853197324650783E-2</v>
      </c>
      <c r="T63" s="6">
        <f t="shared" si="121"/>
        <v>33729.271999999997</v>
      </c>
      <c r="U63" s="7">
        <f t="shared" si="122"/>
        <v>1.3058498447107958</v>
      </c>
      <c r="V63" s="8">
        <f t="shared" si="123"/>
        <v>140386.111</v>
      </c>
      <c r="W63" s="7">
        <f t="shared" si="124"/>
        <v>5.435136022173932</v>
      </c>
      <c r="X63" s="6">
        <f t="shared" si="125"/>
        <v>174115.383</v>
      </c>
      <c r="Y63" s="9">
        <f t="shared" si="126"/>
        <v>6.7409858668847269</v>
      </c>
      <c r="Z63" s="6"/>
      <c r="AA63" s="7">
        <f t="shared" si="69"/>
        <v>0</v>
      </c>
      <c r="AB63" s="8"/>
      <c r="AC63" s="7">
        <f t="shared" si="33"/>
        <v>0</v>
      </c>
      <c r="AD63" s="8"/>
      <c r="AE63" s="7">
        <f t="shared" si="34"/>
        <v>0</v>
      </c>
      <c r="AF63" s="8"/>
      <c r="AG63" s="9">
        <f t="shared" si="35"/>
        <v>0</v>
      </c>
      <c r="AH63" s="31">
        <f>SUM('[9]406'!$F$1800)</f>
        <v>378871.625</v>
      </c>
      <c r="AI63" s="7">
        <f t="shared" si="99"/>
        <v>4.8020784449016668E-2</v>
      </c>
      <c r="AJ63" s="33">
        <f>SUM('[9]406'!$J$1800)</f>
        <v>138237.076</v>
      </c>
      <c r="AK63" s="7">
        <f t="shared" si="56"/>
        <v>36.486521259014843</v>
      </c>
      <c r="AL63" s="8">
        <f t="shared" si="84"/>
        <v>240634.549</v>
      </c>
      <c r="AM63" s="7">
        <f t="shared" si="58"/>
        <v>63.51347874098515</v>
      </c>
      <c r="AN63" s="33">
        <f>SUM('[9]406'!$N$1800)</f>
        <v>378871.625</v>
      </c>
      <c r="AO63" s="9">
        <f t="shared" si="70"/>
        <v>100</v>
      </c>
      <c r="AP63" s="6"/>
      <c r="AQ63" s="7">
        <f t="shared" si="100"/>
        <v>0</v>
      </c>
      <c r="AR63" s="8"/>
      <c r="AS63" s="7">
        <f t="shared" si="103"/>
        <v>0</v>
      </c>
      <c r="AT63" s="8"/>
      <c r="AU63" s="7">
        <f t="shared" si="104"/>
        <v>0</v>
      </c>
      <c r="AV63" s="8"/>
      <c r="AW63" s="9">
        <f t="shared" si="71"/>
        <v>0</v>
      </c>
      <c r="AX63" s="6"/>
      <c r="AY63" s="7">
        <f t="shared" si="101"/>
        <v>0</v>
      </c>
      <c r="AZ63" s="8"/>
      <c r="BA63" s="7">
        <f t="shared" si="72"/>
        <v>0</v>
      </c>
      <c r="BB63" s="8"/>
      <c r="BC63" s="7">
        <f t="shared" si="73"/>
        <v>0</v>
      </c>
      <c r="BD63" s="8"/>
      <c r="BE63" s="9">
        <f t="shared" si="74"/>
        <v>0</v>
      </c>
      <c r="BF63" s="31">
        <f>SUM('[9]406'!$D$432)</f>
        <v>1983000</v>
      </c>
      <c r="BG63" s="8">
        <f t="shared" si="127"/>
        <v>552987.00800000003</v>
      </c>
      <c r="BH63" s="10">
        <f t="shared" si="94"/>
        <v>3.8965660364759049E-3</v>
      </c>
      <c r="BI63" s="6">
        <f>SUM([8]ken!$H$320)</f>
        <v>0</v>
      </c>
      <c r="BJ63" s="8">
        <f t="shared" si="118"/>
        <v>552987.00800000003</v>
      </c>
      <c r="BK63" s="8">
        <f t="shared" si="128"/>
        <v>171966.348</v>
      </c>
      <c r="BL63" s="7">
        <f t="shared" si="36"/>
        <v>31.09771938801137</v>
      </c>
      <c r="BM63" s="8">
        <f t="shared" si="129"/>
        <v>381020.66000000003</v>
      </c>
      <c r="BN63" s="7">
        <f t="shared" si="95"/>
        <v>68.90228061198863</v>
      </c>
      <c r="BO63" s="11">
        <f t="shared" si="130"/>
        <v>552987.00800000003</v>
      </c>
      <c r="BP63" s="9">
        <f t="shared" si="119"/>
        <v>100</v>
      </c>
    </row>
    <row r="64" spans="1:70" x14ac:dyDescent="0.2">
      <c r="A64" s="81" t="s">
        <v>357</v>
      </c>
      <c r="B64" s="31">
        <f>SUM('[9]404'!$F$434)</f>
        <v>70484.782000000007</v>
      </c>
      <c r="C64" s="7">
        <f t="shared" si="96"/>
        <v>2.0788858617604858E-3</v>
      </c>
      <c r="D64" s="33">
        <f>SUM('[9]404'!$J$434)</f>
        <v>41757.805999999997</v>
      </c>
      <c r="E64" s="7">
        <f t="shared" si="9"/>
        <v>59.243718736336582</v>
      </c>
      <c r="F64" s="8">
        <f t="shared" si="117"/>
        <v>28726.97600000001</v>
      </c>
      <c r="G64" s="7">
        <f t="shared" si="11"/>
        <v>40.756281263663418</v>
      </c>
      <c r="H64" s="33">
        <f>SUM('[9]404'!$N$434)</f>
        <v>70484.782000000007</v>
      </c>
      <c r="I64" s="9">
        <f t="shared" si="12"/>
        <v>100</v>
      </c>
      <c r="J64" s="31">
        <f>SUM('[9]404'!$F$885)</f>
        <v>0</v>
      </c>
      <c r="K64" s="7">
        <f t="shared" si="97"/>
        <v>0</v>
      </c>
      <c r="L64" s="33">
        <f>SUM('[9]404'!$J$885)</f>
        <v>0</v>
      </c>
      <c r="M64" s="7">
        <f t="shared" si="46"/>
        <v>0</v>
      </c>
      <c r="N64" s="8">
        <f t="shared" si="76"/>
        <v>0</v>
      </c>
      <c r="O64" s="7">
        <f t="shared" si="48"/>
        <v>0</v>
      </c>
      <c r="P64" s="33">
        <f>SUM('[9]404'!$N$885)</f>
        <v>0</v>
      </c>
      <c r="Q64" s="269"/>
      <c r="R64" s="6">
        <f t="shared" si="120"/>
        <v>70484.782000000007</v>
      </c>
      <c r="S64" s="7">
        <f t="shared" si="98"/>
        <v>8.1465267246744189E-4</v>
      </c>
      <c r="T64" s="6">
        <f t="shared" si="121"/>
        <v>41757.805999999997</v>
      </c>
      <c r="U64" s="7">
        <f t="shared" si="122"/>
        <v>59.243718736336582</v>
      </c>
      <c r="V64" s="8">
        <f t="shared" si="123"/>
        <v>28726.97600000001</v>
      </c>
      <c r="W64" s="7">
        <f t="shared" si="124"/>
        <v>40.756281263663418</v>
      </c>
      <c r="X64" s="6">
        <f t="shared" si="125"/>
        <v>70484.782000000007</v>
      </c>
      <c r="Y64" s="9">
        <f t="shared" si="126"/>
        <v>100</v>
      </c>
      <c r="Z64" s="6"/>
      <c r="AA64" s="7">
        <f t="shared" si="69"/>
        <v>0</v>
      </c>
      <c r="AB64" s="8"/>
      <c r="AC64" s="7">
        <f t="shared" si="33"/>
        <v>0</v>
      </c>
      <c r="AD64" s="8"/>
      <c r="AE64" s="7">
        <f t="shared" si="34"/>
        <v>0</v>
      </c>
      <c r="AF64" s="8"/>
      <c r="AG64" s="9">
        <f t="shared" si="35"/>
        <v>0</v>
      </c>
      <c r="AH64" s="31">
        <f>SUM('[9]404'!$F$1800)</f>
        <v>865000</v>
      </c>
      <c r="AI64" s="7">
        <f t="shared" si="99"/>
        <v>0.10963602393924174</v>
      </c>
      <c r="AJ64" s="33">
        <f>SUM('[9]404'!$J$1800)</f>
        <v>0</v>
      </c>
      <c r="AK64" s="7">
        <f t="shared" si="56"/>
        <v>0</v>
      </c>
      <c r="AL64" s="8">
        <f t="shared" si="84"/>
        <v>0</v>
      </c>
      <c r="AM64" s="7">
        <f t="shared" si="58"/>
        <v>0</v>
      </c>
      <c r="AN64" s="33">
        <f>SUM('[9]404'!$N$1800)</f>
        <v>0</v>
      </c>
      <c r="AO64" s="9">
        <f t="shared" si="70"/>
        <v>0</v>
      </c>
      <c r="AP64" s="6"/>
      <c r="AQ64" s="7">
        <f t="shared" si="100"/>
        <v>0</v>
      </c>
      <c r="AR64" s="8"/>
      <c r="AS64" s="7">
        <f t="shared" si="103"/>
        <v>0</v>
      </c>
      <c r="AT64" s="8"/>
      <c r="AU64" s="7">
        <f t="shared" si="104"/>
        <v>0</v>
      </c>
      <c r="AV64" s="8"/>
      <c r="AW64" s="9">
        <f t="shared" si="71"/>
        <v>0</v>
      </c>
      <c r="AX64" s="6"/>
      <c r="AY64" s="7">
        <f t="shared" si="101"/>
        <v>0</v>
      </c>
      <c r="AZ64" s="8"/>
      <c r="BA64" s="7">
        <f t="shared" si="72"/>
        <v>0</v>
      </c>
      <c r="BB64" s="8"/>
      <c r="BC64" s="7">
        <f t="shared" si="73"/>
        <v>0</v>
      </c>
      <c r="BD64" s="8"/>
      <c r="BE64" s="9">
        <f t="shared" si="74"/>
        <v>0</v>
      </c>
      <c r="BF64" s="31">
        <f>SUM('[9]404'!$D$432)</f>
        <v>1300000</v>
      </c>
      <c r="BG64" s="8">
        <f t="shared" si="127"/>
        <v>935484.78200000001</v>
      </c>
      <c r="BH64" s="10">
        <f t="shared" si="94"/>
        <v>6.5917972329311318E-3</v>
      </c>
      <c r="BI64" s="6">
        <f>SUM([8]cla!$H$320)</f>
        <v>0</v>
      </c>
      <c r="BJ64" s="8">
        <f t="shared" si="118"/>
        <v>935484.78200000001</v>
      </c>
      <c r="BK64" s="8">
        <f t="shared" si="128"/>
        <v>41757.805999999997</v>
      </c>
      <c r="BL64" s="7">
        <f t="shared" si="36"/>
        <v>4.4637611218778757</v>
      </c>
      <c r="BM64" s="8">
        <f t="shared" si="129"/>
        <v>28726.97600000001</v>
      </c>
      <c r="BN64" s="7">
        <f t="shared" si="95"/>
        <v>3.0708116853150487</v>
      </c>
      <c r="BO64" s="11">
        <f t="shared" si="130"/>
        <v>70484.782000000007</v>
      </c>
      <c r="BP64" s="9">
        <f t="shared" si="119"/>
        <v>7.5345728071929239</v>
      </c>
    </row>
    <row r="65" spans="1:68" x14ac:dyDescent="0.2">
      <c r="A65" s="81" t="s">
        <v>358</v>
      </c>
      <c r="B65" s="31">
        <f>SUM('[9]405'!$F$434)</f>
        <v>0</v>
      </c>
      <c r="C65" s="7">
        <f t="shared" si="96"/>
        <v>0</v>
      </c>
      <c r="D65" s="33">
        <f>SUM('[9]405'!$J$434)</f>
        <v>0</v>
      </c>
      <c r="E65" s="7">
        <f t="shared" si="9"/>
        <v>0</v>
      </c>
      <c r="F65" s="8">
        <f t="shared" si="117"/>
        <v>0</v>
      </c>
      <c r="G65" s="7">
        <f t="shared" si="11"/>
        <v>0</v>
      </c>
      <c r="H65" s="33">
        <f>SUM('[9]405'!$N$434)</f>
        <v>0</v>
      </c>
      <c r="I65" s="9">
        <f t="shared" si="12"/>
        <v>0</v>
      </c>
      <c r="J65" s="31">
        <f>SUM('[9]405'!$F$885)</f>
        <v>1027138.476</v>
      </c>
      <c r="K65" s="7">
        <f t="shared" si="97"/>
        <v>1.9521338034852814E-2</v>
      </c>
      <c r="L65" s="33">
        <f>SUM('[9]405'!$J$885)</f>
        <v>0</v>
      </c>
      <c r="M65" s="7">
        <f t="shared" si="46"/>
        <v>0</v>
      </c>
      <c r="N65" s="8">
        <f t="shared" si="76"/>
        <v>0</v>
      </c>
      <c r="O65" s="7">
        <f t="shared" si="48"/>
        <v>0</v>
      </c>
      <c r="P65" s="33">
        <f>SUM('[9]405'!$N$885)</f>
        <v>0</v>
      </c>
      <c r="Q65" s="269"/>
      <c r="R65" s="6">
        <f t="shared" si="120"/>
        <v>1027138.476</v>
      </c>
      <c r="S65" s="7">
        <f t="shared" si="98"/>
        <v>1.1871514399626507E-2</v>
      </c>
      <c r="T65" s="6">
        <f t="shared" si="121"/>
        <v>0</v>
      </c>
      <c r="U65" s="7">
        <f t="shared" si="122"/>
        <v>0</v>
      </c>
      <c r="V65" s="8">
        <f t="shared" si="123"/>
        <v>0</v>
      </c>
      <c r="W65" s="7">
        <f t="shared" si="124"/>
        <v>0</v>
      </c>
      <c r="X65" s="6">
        <f t="shared" si="125"/>
        <v>0</v>
      </c>
      <c r="Y65" s="9">
        <f t="shared" si="126"/>
        <v>0</v>
      </c>
      <c r="Z65" s="6"/>
      <c r="AA65" s="7">
        <f t="shared" si="69"/>
        <v>0</v>
      </c>
      <c r="AB65" s="8"/>
      <c r="AC65" s="7">
        <f t="shared" si="33"/>
        <v>0</v>
      </c>
      <c r="AD65" s="8"/>
      <c r="AE65" s="7">
        <f t="shared" si="34"/>
        <v>0</v>
      </c>
      <c r="AF65" s="8"/>
      <c r="AG65" s="9">
        <f t="shared" si="35"/>
        <v>0</v>
      </c>
      <c r="AH65" s="31">
        <f>SUM('[9]405'!$F$1800)</f>
        <v>1107065.128</v>
      </c>
      <c r="AI65" s="7">
        <f t="shared" si="99"/>
        <v>0.14031701604128061</v>
      </c>
      <c r="AJ65" s="33">
        <f>SUM('[9]405'!$J$1800)</f>
        <v>480716.147</v>
      </c>
      <c r="AK65" s="7">
        <f t="shared" si="56"/>
        <v>43.422571521916822</v>
      </c>
      <c r="AL65" s="8">
        <f t="shared" si="84"/>
        <v>626174.98100000003</v>
      </c>
      <c r="AM65" s="7">
        <f t="shared" si="58"/>
        <v>56.561711245591681</v>
      </c>
      <c r="AN65" s="33">
        <f>SUM('[9]405'!$N$1800)</f>
        <v>1106891.128</v>
      </c>
      <c r="AO65" s="9">
        <f t="shared" si="70"/>
        <v>99.984282767508503</v>
      </c>
      <c r="AP65" s="6"/>
      <c r="AQ65" s="7">
        <f t="shared" si="100"/>
        <v>0</v>
      </c>
      <c r="AR65" s="8"/>
      <c r="AS65" s="7">
        <f t="shared" si="103"/>
        <v>0</v>
      </c>
      <c r="AT65" s="8"/>
      <c r="AU65" s="7">
        <f t="shared" si="104"/>
        <v>0</v>
      </c>
      <c r="AV65" s="8"/>
      <c r="AW65" s="9">
        <f t="shared" si="71"/>
        <v>0</v>
      </c>
      <c r="AX65" s="6"/>
      <c r="AY65" s="7">
        <f t="shared" si="101"/>
        <v>0</v>
      </c>
      <c r="AZ65" s="8"/>
      <c r="BA65" s="7">
        <f t="shared" si="72"/>
        <v>0</v>
      </c>
      <c r="BB65" s="8"/>
      <c r="BC65" s="7">
        <f t="shared" si="73"/>
        <v>0</v>
      </c>
      <c r="BD65" s="8"/>
      <c r="BE65" s="9">
        <f t="shared" si="74"/>
        <v>0</v>
      </c>
      <c r="BF65" s="31">
        <f>SUM('[9]405'!$D$432)</f>
        <v>1276000</v>
      </c>
      <c r="BG65" s="8">
        <f t="shared" si="127"/>
        <v>1107065.128</v>
      </c>
      <c r="BH65" s="10">
        <f t="shared" si="94"/>
        <v>7.800820481358669E-3</v>
      </c>
      <c r="BI65" s="6">
        <f>SUM([8]bos!$H$320)</f>
        <v>0</v>
      </c>
      <c r="BJ65" s="8">
        <f t="shared" si="118"/>
        <v>1107065.128</v>
      </c>
      <c r="BK65" s="8">
        <f t="shared" si="128"/>
        <v>480716.147</v>
      </c>
      <c r="BL65" s="7">
        <f t="shared" si="36"/>
        <v>43.422571521916822</v>
      </c>
      <c r="BM65" s="8">
        <f t="shared" si="129"/>
        <v>626174.98100000003</v>
      </c>
      <c r="BN65" s="7">
        <f t="shared" si="95"/>
        <v>56.561711245591681</v>
      </c>
      <c r="BO65" s="11">
        <f t="shared" si="130"/>
        <v>1106891.128</v>
      </c>
      <c r="BP65" s="9">
        <f t="shared" si="119"/>
        <v>99.984282767508503</v>
      </c>
    </row>
    <row r="66" spans="1:68" x14ac:dyDescent="0.2">
      <c r="A66" s="81" t="s">
        <v>359</v>
      </c>
      <c r="B66" s="31">
        <f>SUM('[9]408'!$F$434)</f>
        <v>1586.7999999970198</v>
      </c>
      <c r="C66" s="7">
        <f t="shared" si="96"/>
        <v>4.6801252580100804E-5</v>
      </c>
      <c r="D66" s="33">
        <f>SUM('[9]408'!$J$434)</f>
        <v>49.3</v>
      </c>
      <c r="E66" s="7">
        <f t="shared" si="9"/>
        <v>3.1068817746466215</v>
      </c>
      <c r="F66" s="8">
        <f t="shared" si="117"/>
        <v>1537.5</v>
      </c>
      <c r="G66" s="7">
        <f t="shared" si="11"/>
        <v>96.893118225541201</v>
      </c>
      <c r="H66" s="33">
        <f>SUM('[9]408'!$N$434)</f>
        <v>1586.8</v>
      </c>
      <c r="I66" s="9">
        <f t="shared" si="12"/>
        <v>100.00000000018781</v>
      </c>
      <c r="J66" s="31">
        <f>SUM('[9]408'!$F$885)</f>
        <v>33895782.116000004</v>
      </c>
      <c r="K66" s="7">
        <f t="shared" si="97"/>
        <v>0.64420819208232505</v>
      </c>
      <c r="L66" s="33">
        <f>SUM('[9]408'!$J$885)</f>
        <v>0</v>
      </c>
      <c r="M66" s="7">
        <f t="shared" si="46"/>
        <v>0</v>
      </c>
      <c r="N66" s="8">
        <f t="shared" si="76"/>
        <v>0</v>
      </c>
      <c r="O66" s="7">
        <f t="shared" si="48"/>
        <v>0</v>
      </c>
      <c r="P66" s="33">
        <f>SUM('[9]408'!$N$885)</f>
        <v>0</v>
      </c>
      <c r="Q66" s="269"/>
      <c r="R66" s="6">
        <f t="shared" si="120"/>
        <v>33897368.916000001</v>
      </c>
      <c r="S66" s="7">
        <f t="shared" si="98"/>
        <v>0.39178077016729917</v>
      </c>
      <c r="T66" s="6">
        <f t="shared" si="121"/>
        <v>49.3</v>
      </c>
      <c r="U66" s="7">
        <f t="shared" si="122"/>
        <v>1.4543901658612139E-4</v>
      </c>
      <c r="V66" s="8">
        <f t="shared" si="123"/>
        <v>1537.5</v>
      </c>
      <c r="W66" s="7">
        <f t="shared" si="124"/>
        <v>4.5357502637152465E-3</v>
      </c>
      <c r="X66" s="6">
        <f t="shared" si="125"/>
        <v>1586.8</v>
      </c>
      <c r="Y66" s="9">
        <f t="shared" si="126"/>
        <v>4.6811892803013677E-3</v>
      </c>
      <c r="Z66" s="6"/>
      <c r="AA66" s="7">
        <f t="shared" si="69"/>
        <v>0</v>
      </c>
      <c r="AB66" s="8"/>
      <c r="AC66" s="7">
        <f t="shared" si="33"/>
        <v>0</v>
      </c>
      <c r="AD66" s="8"/>
      <c r="AE66" s="7">
        <f t="shared" si="34"/>
        <v>0</v>
      </c>
      <c r="AF66" s="8"/>
      <c r="AG66" s="9">
        <f t="shared" si="35"/>
        <v>0</v>
      </c>
      <c r="AH66" s="31">
        <f>SUM('[9]408'!$F$1800)</f>
        <v>1341509.024</v>
      </c>
      <c r="AI66" s="7">
        <f t="shared" si="99"/>
        <v>0.17003204100574892</v>
      </c>
      <c r="AJ66" s="33">
        <f>SUM('[9]408'!$J$1800)</f>
        <v>126222.21</v>
      </c>
      <c r="AK66" s="7">
        <f t="shared" si="56"/>
        <v>9.4089721158670336</v>
      </c>
      <c r="AL66" s="8">
        <f t="shared" si="84"/>
        <v>0</v>
      </c>
      <c r="AM66" s="7">
        <f t="shared" si="58"/>
        <v>0</v>
      </c>
      <c r="AN66" s="33">
        <f>SUM('[9]408'!$N$1800)</f>
        <v>126222.21</v>
      </c>
      <c r="AO66" s="9">
        <f t="shared" si="70"/>
        <v>9.4089721158670336</v>
      </c>
      <c r="AP66" s="6"/>
      <c r="AQ66" s="7">
        <f t="shared" si="100"/>
        <v>0</v>
      </c>
      <c r="AR66" s="8"/>
      <c r="AS66" s="7">
        <f t="shared" si="103"/>
        <v>0</v>
      </c>
      <c r="AT66" s="8"/>
      <c r="AU66" s="7">
        <f t="shared" si="104"/>
        <v>0</v>
      </c>
      <c r="AV66" s="8"/>
      <c r="AW66" s="9">
        <f t="shared" si="71"/>
        <v>0</v>
      </c>
      <c r="AX66" s="6"/>
      <c r="AY66" s="7">
        <f t="shared" si="101"/>
        <v>0</v>
      </c>
      <c r="AZ66" s="8"/>
      <c r="BA66" s="7">
        <f t="shared" si="72"/>
        <v>0</v>
      </c>
      <c r="BB66" s="8"/>
      <c r="BC66" s="7">
        <f t="shared" si="73"/>
        <v>0</v>
      </c>
      <c r="BD66" s="8"/>
      <c r="BE66" s="9">
        <f t="shared" si="74"/>
        <v>0</v>
      </c>
      <c r="BF66" s="31">
        <f>SUM('[9]408'!$D$432)</f>
        <v>34574000</v>
      </c>
      <c r="BG66" s="8">
        <f t="shared" si="127"/>
        <v>1343095.823999997</v>
      </c>
      <c r="BH66" s="10">
        <f t="shared" si="94"/>
        <v>9.4639864876011823E-3</v>
      </c>
      <c r="BI66" s="6">
        <f>SUM([8]eng!$H$320)</f>
        <v>0</v>
      </c>
      <c r="BJ66" s="8">
        <f t="shared" si="118"/>
        <v>1343095.823999997</v>
      </c>
      <c r="BK66" s="8">
        <f t="shared" si="128"/>
        <v>126271.51000000001</v>
      </c>
      <c r="BL66" s="7">
        <f t="shared" si="36"/>
        <v>9.4015265138669886</v>
      </c>
      <c r="BM66" s="8">
        <f t="shared" si="129"/>
        <v>1537.5</v>
      </c>
      <c r="BN66" s="7">
        <f t="shared" si="95"/>
        <v>0.11447433403679495</v>
      </c>
      <c r="BO66" s="11">
        <f t="shared" si="130"/>
        <v>127809.01000000001</v>
      </c>
      <c r="BP66" s="9">
        <f t="shared" si="119"/>
        <v>9.5160008479037828</v>
      </c>
    </row>
    <row r="67" spans="1:68" x14ac:dyDescent="0.2">
      <c r="A67" s="81" t="s">
        <v>360</v>
      </c>
      <c r="B67" s="31">
        <f>SUM('[9]409'!$F$434)</f>
        <v>0</v>
      </c>
      <c r="C67" s="7">
        <f t="shared" si="96"/>
        <v>0</v>
      </c>
      <c r="D67" s="33">
        <f>SUM('[9]409'!$J$434)</f>
        <v>0</v>
      </c>
      <c r="E67" s="7">
        <f t="shared" si="9"/>
        <v>0</v>
      </c>
      <c r="F67" s="8">
        <f t="shared" si="117"/>
        <v>0</v>
      </c>
      <c r="G67" s="7">
        <f t="shared" si="11"/>
        <v>0</v>
      </c>
      <c r="H67" s="33">
        <f>SUM('[9]409'!$N$434)</f>
        <v>0</v>
      </c>
      <c r="I67" s="9">
        <f t="shared" si="12"/>
        <v>0</v>
      </c>
      <c r="J67" s="31">
        <f>SUM('[9]409'!$F$885)</f>
        <v>0</v>
      </c>
      <c r="K67" s="7">
        <f t="shared" si="97"/>
        <v>0</v>
      </c>
      <c r="L67" s="33">
        <f>SUM('[9]409'!$J$885)</f>
        <v>0</v>
      </c>
      <c r="M67" s="7">
        <f t="shared" si="46"/>
        <v>0</v>
      </c>
      <c r="N67" s="8">
        <f t="shared" si="76"/>
        <v>0</v>
      </c>
      <c r="O67" s="7">
        <f t="shared" si="48"/>
        <v>0</v>
      </c>
      <c r="P67" s="33">
        <f>SUM('[9]409'!$N$885)</f>
        <v>0</v>
      </c>
      <c r="Q67" s="269"/>
      <c r="R67" s="6">
        <f t="shared" si="120"/>
        <v>0</v>
      </c>
      <c r="S67" s="7">
        <f t="shared" si="98"/>
        <v>0</v>
      </c>
      <c r="T67" s="6">
        <f t="shared" si="121"/>
        <v>0</v>
      </c>
      <c r="U67" s="7">
        <f t="shared" si="122"/>
        <v>0</v>
      </c>
      <c r="V67" s="8">
        <f t="shared" si="123"/>
        <v>0</v>
      </c>
      <c r="W67" s="7">
        <f t="shared" si="124"/>
        <v>0</v>
      </c>
      <c r="X67" s="6">
        <f t="shared" si="125"/>
        <v>0</v>
      </c>
      <c r="Y67" s="9">
        <f t="shared" si="126"/>
        <v>0</v>
      </c>
      <c r="Z67" s="6"/>
      <c r="AA67" s="7">
        <f t="shared" si="69"/>
        <v>0</v>
      </c>
      <c r="AB67" s="8"/>
      <c r="AC67" s="7">
        <f t="shared" si="33"/>
        <v>0</v>
      </c>
      <c r="AD67" s="8"/>
      <c r="AE67" s="7">
        <f t="shared" si="34"/>
        <v>0</v>
      </c>
      <c r="AF67" s="8"/>
      <c r="AG67" s="9">
        <f t="shared" si="35"/>
        <v>0</v>
      </c>
      <c r="AH67" s="31">
        <f>SUM('[9]409'!$F$1800)</f>
        <v>32876.349000000002</v>
      </c>
      <c r="AI67" s="7">
        <f t="shared" si="99"/>
        <v>4.1669736254322156E-3</v>
      </c>
      <c r="AJ67" s="33">
        <f>SUM('[9]409'!$J$1800)</f>
        <v>0</v>
      </c>
      <c r="AK67" s="7">
        <f t="shared" si="56"/>
        <v>0</v>
      </c>
      <c r="AL67" s="8">
        <f t="shared" si="84"/>
        <v>0</v>
      </c>
      <c r="AM67" s="7">
        <f t="shared" si="58"/>
        <v>0</v>
      </c>
      <c r="AN67" s="33">
        <f>SUM('[9]409'!$N$1800)</f>
        <v>0</v>
      </c>
      <c r="AO67" s="9">
        <f t="shared" si="70"/>
        <v>0</v>
      </c>
      <c r="AP67" s="6"/>
      <c r="AQ67" s="7">
        <f t="shared" si="100"/>
        <v>0</v>
      </c>
      <c r="AR67" s="8"/>
      <c r="AS67" s="7">
        <f t="shared" si="103"/>
        <v>0</v>
      </c>
      <c r="AT67" s="8"/>
      <c r="AU67" s="7">
        <f t="shared" si="104"/>
        <v>0</v>
      </c>
      <c r="AV67" s="8"/>
      <c r="AW67" s="9">
        <f t="shared" si="71"/>
        <v>0</v>
      </c>
      <c r="AX67" s="6"/>
      <c r="AY67" s="7">
        <f t="shared" si="101"/>
        <v>0</v>
      </c>
      <c r="AZ67" s="8"/>
      <c r="BA67" s="7">
        <f t="shared" si="72"/>
        <v>0</v>
      </c>
      <c r="BB67" s="8"/>
      <c r="BC67" s="7">
        <f t="shared" si="73"/>
        <v>0</v>
      </c>
      <c r="BD67" s="8"/>
      <c r="BE67" s="9">
        <f t="shared" si="74"/>
        <v>0</v>
      </c>
      <c r="BF67" s="31">
        <f>SUM('[9]409'!$D$432)</f>
        <v>0</v>
      </c>
      <c r="BG67" s="8">
        <f t="shared" si="127"/>
        <v>32876.349000000002</v>
      </c>
      <c r="BH67" s="10">
        <f t="shared" si="94"/>
        <v>2.3165980947734775E-4</v>
      </c>
      <c r="BI67" s="6">
        <f>SUM([8]fon!$H$320)</f>
        <v>0</v>
      </c>
      <c r="BJ67" s="8">
        <f t="shared" si="118"/>
        <v>32876.349000000002</v>
      </c>
      <c r="BK67" s="8">
        <f t="shared" si="128"/>
        <v>0</v>
      </c>
      <c r="BL67" s="7">
        <f t="shared" si="36"/>
        <v>0</v>
      </c>
      <c r="BM67" s="8">
        <f t="shared" si="129"/>
        <v>0</v>
      </c>
      <c r="BN67" s="7">
        <f t="shared" si="95"/>
        <v>0</v>
      </c>
      <c r="BO67" s="11">
        <f t="shared" si="130"/>
        <v>0</v>
      </c>
      <c r="BP67" s="9">
        <f t="shared" si="119"/>
        <v>0</v>
      </c>
    </row>
    <row r="68" spans="1:68" x14ac:dyDescent="0.2">
      <c r="A68" s="81" t="s">
        <v>361</v>
      </c>
      <c r="B68" s="31">
        <f>SUM('[9]410'!$F$434)</f>
        <v>1660000</v>
      </c>
      <c r="C68" s="7">
        <f t="shared" ref="C68:C84" si="131">IF(OR(B68=0,B$84=0),0,B68/B$84)*100</f>
        <v>4.896022137831689E-2</v>
      </c>
      <c r="D68" s="33">
        <f>SUM('[9]410'!$J$434)</f>
        <v>1033453.089</v>
      </c>
      <c r="E68" s="7">
        <f t="shared" ref="E68:E84" si="132">IF(OR(D68=0,B68=0),0,D68/B68)*100</f>
        <v>62.256210180722896</v>
      </c>
      <c r="F68" s="8">
        <f t="shared" si="117"/>
        <v>496546.91099999996</v>
      </c>
      <c r="G68" s="7">
        <f t="shared" ref="G68:G84" si="133">IF(OR(F68=0,B68=0),0,F68/B68)*100</f>
        <v>29.912464518072284</v>
      </c>
      <c r="H68" s="33">
        <f>SUM('[9]410'!$N$434)</f>
        <v>1530000</v>
      </c>
      <c r="I68" s="9">
        <f t="shared" ref="I68:I84" si="134">IF(OR(H68=0,B68=0),0,H68/B68)*100</f>
        <v>92.168674698795186</v>
      </c>
      <c r="J68" s="31">
        <f>SUM('[9]410'!$F$885)</f>
        <v>0</v>
      </c>
      <c r="K68" s="7">
        <f t="shared" ref="K68:K82" si="135">IF(OR(J68=0,J$84=0),0,J68/J$84)*100</f>
        <v>0</v>
      </c>
      <c r="L68" s="33">
        <f>SUM('[9]410'!$J$885)</f>
        <v>0</v>
      </c>
      <c r="M68" s="7">
        <f t="shared" si="46"/>
        <v>0</v>
      </c>
      <c r="N68" s="8">
        <f t="shared" si="76"/>
        <v>0</v>
      </c>
      <c r="O68" s="7">
        <f t="shared" si="48"/>
        <v>0</v>
      </c>
      <c r="P68" s="33">
        <f>SUM('[9]410'!$N$885)</f>
        <v>0</v>
      </c>
      <c r="Q68" s="269"/>
      <c r="R68" s="6">
        <f t="shared" si="120"/>
        <v>1660000</v>
      </c>
      <c r="S68" s="7">
        <f t="shared" si="98"/>
        <v>1.9186034175376371E-2</v>
      </c>
      <c r="T68" s="6">
        <f t="shared" si="121"/>
        <v>1033453.089</v>
      </c>
      <c r="U68" s="7">
        <f t="shared" si="122"/>
        <v>62.256210180722896</v>
      </c>
      <c r="V68" s="8">
        <f t="shared" si="123"/>
        <v>496546.91099999996</v>
      </c>
      <c r="W68" s="7">
        <f t="shared" si="124"/>
        <v>29.912464518072284</v>
      </c>
      <c r="X68" s="6">
        <f t="shared" si="125"/>
        <v>1530000</v>
      </c>
      <c r="Y68" s="9">
        <f t="shared" si="126"/>
        <v>92.168674698795186</v>
      </c>
      <c r="Z68" s="6"/>
      <c r="AA68" s="7">
        <f t="shared" ref="AA68:AA84" si="136">IF(OR(Z68=0,Z$84=0),0,Z68/Z$84)*100</f>
        <v>0</v>
      </c>
      <c r="AB68" s="8"/>
      <c r="AC68" s="7">
        <f t="shared" ref="AC68:AC84" si="137">IF(OR(AB68=0,Z68=0),0,AB68/Z68)*100</f>
        <v>0</v>
      </c>
      <c r="AD68" s="8"/>
      <c r="AE68" s="7">
        <f t="shared" ref="AE68:AE84" si="138">IF(OR(AD68=0,Z68=0),0,AD68/Z68)*100</f>
        <v>0</v>
      </c>
      <c r="AF68" s="8"/>
      <c r="AG68" s="9">
        <f t="shared" ref="AG68:AG84" si="139">IF(OR(AF68=0,Z68=0),0,AF68/Z68)*100</f>
        <v>0</v>
      </c>
      <c r="AH68" s="31">
        <f>SUM('[9]410'!$F$1800)</f>
        <v>2607362.648</v>
      </c>
      <c r="AI68" s="7">
        <f t="shared" ref="AI68:AI83" si="140">IF(OR(AH68=0,AH$84=0),0,AH68/AH$84)*100</f>
        <v>0.33047499849065054</v>
      </c>
      <c r="AJ68" s="33">
        <f>SUM('[9]410'!$J$1800)</f>
        <v>2607362.64</v>
      </c>
      <c r="AK68" s="7">
        <f t="shared" si="56"/>
        <v>99.999999693176562</v>
      </c>
      <c r="AL68" s="8">
        <f t="shared" si="84"/>
        <v>7.9999999143183231E-3</v>
      </c>
      <c r="AM68" s="7">
        <f t="shared" si="58"/>
        <v>3.0682344554006677E-7</v>
      </c>
      <c r="AN68" s="33">
        <f>SUM('[9]410'!$N$1800)</f>
        <v>2607362.648</v>
      </c>
      <c r="AO68" s="9">
        <f t="shared" ref="AO68:AO84" si="141">IF(OR(AN68=0,AH68=0),0,AN68/AH68)*100</f>
        <v>100</v>
      </c>
      <c r="AP68" s="6"/>
      <c r="AQ68" s="7">
        <f t="shared" ref="AQ68:AQ84" si="142">IF(OR(AP68=0,AP$84=0),0,AP68/AP$84)*100</f>
        <v>0</v>
      </c>
      <c r="AR68" s="8"/>
      <c r="AS68" s="7">
        <f t="shared" ref="AS68:AS84" si="143">IF(OR(AR68=0,AP68=0),0,AR68/AP68)*100</f>
        <v>0</v>
      </c>
      <c r="AT68" s="8"/>
      <c r="AU68" s="7">
        <f t="shared" ref="AU68:AU84" si="144">IF(OR(AT68=0,AP68=0),0,AT68/AP68)*100</f>
        <v>0</v>
      </c>
      <c r="AV68" s="8"/>
      <c r="AW68" s="9">
        <f t="shared" ref="AW68:AW84" si="145">IF(OR(AV68=0,AP68=0),0,AV68/AP68)*100</f>
        <v>0</v>
      </c>
      <c r="AX68" s="6"/>
      <c r="AY68" s="7">
        <f t="shared" ref="AY68:AY84" si="146">IF(OR(AX68=0,AX$84=0),0,AX68/AX$84)*100</f>
        <v>0</v>
      </c>
      <c r="AZ68" s="8"/>
      <c r="BA68" s="7">
        <f t="shared" ref="BA68:BA84" si="147">IF(OR(AZ68=0,AX68=0),0,AZ68/AX68)*100</f>
        <v>0</v>
      </c>
      <c r="BB68" s="8"/>
      <c r="BC68" s="7">
        <f t="shared" ref="BC68:BC84" si="148">IF(OR(BB68=0,AX68=0),0,BB68/AX68)*100</f>
        <v>0</v>
      </c>
      <c r="BD68" s="8"/>
      <c r="BE68" s="9">
        <f t="shared" ref="BE68:BE84" si="149">IF(OR(BD68=0,AX68=0),0,BD68/AX68)*100</f>
        <v>0</v>
      </c>
      <c r="BF68" s="31">
        <f>SUM('[9]410'!$D$432)</f>
        <v>1550000</v>
      </c>
      <c r="BG68" s="8">
        <f t="shared" si="127"/>
        <v>4267362.648</v>
      </c>
      <c r="BH68" s="10">
        <f t="shared" ref="BH68:BH84" si="150">IF(OR(BG68=0,BG$84=0),0,BG68/BG$84)*100</f>
        <v>3.0069531686940973E-2</v>
      </c>
      <c r="BI68" s="6">
        <f>SUM([8]mei!$H$320)</f>
        <v>0</v>
      </c>
      <c r="BJ68" s="8">
        <f t="shared" si="118"/>
        <v>4267362.648</v>
      </c>
      <c r="BK68" s="8">
        <f t="shared" si="128"/>
        <v>3640815.7290000003</v>
      </c>
      <c r="BL68" s="7">
        <f t="shared" si="36"/>
        <v>85.317701571633577</v>
      </c>
      <c r="BM68" s="8">
        <f t="shared" si="129"/>
        <v>496546.91899999988</v>
      </c>
      <c r="BN68" s="7">
        <f t="shared" si="95"/>
        <v>11.635920355461664</v>
      </c>
      <c r="BO68" s="11">
        <f t="shared" si="130"/>
        <v>4137362.648</v>
      </c>
      <c r="BP68" s="9">
        <f t="shared" si="119"/>
        <v>96.953621927095242</v>
      </c>
    </row>
    <row r="69" spans="1:68" x14ac:dyDescent="0.2">
      <c r="A69" s="81" t="s">
        <v>362</v>
      </c>
      <c r="B69" s="31">
        <f>SUM('[9]411'!$F$434)</f>
        <v>0</v>
      </c>
      <c r="C69" s="7">
        <f t="shared" si="131"/>
        <v>0</v>
      </c>
      <c r="D69" s="33">
        <f>SUM('[9]411'!$J$434)</f>
        <v>0</v>
      </c>
      <c r="E69" s="7">
        <f t="shared" si="132"/>
        <v>0</v>
      </c>
      <c r="F69" s="8">
        <f t="shared" si="117"/>
        <v>0</v>
      </c>
      <c r="G69" s="7">
        <f t="shared" si="133"/>
        <v>0</v>
      </c>
      <c r="H69" s="33">
        <f>SUM('[9]411'!$N$434)</f>
        <v>0</v>
      </c>
      <c r="I69" s="9">
        <f t="shared" si="134"/>
        <v>0</v>
      </c>
      <c r="J69" s="31">
        <f>SUM('[9]411'!$F$885)</f>
        <v>25000</v>
      </c>
      <c r="K69" s="7">
        <f t="shared" si="135"/>
        <v>4.7513890509863477E-4</v>
      </c>
      <c r="L69" s="33">
        <f>SUM('[9]411'!$J$885)</f>
        <v>0</v>
      </c>
      <c r="M69" s="7">
        <f t="shared" si="46"/>
        <v>0</v>
      </c>
      <c r="N69" s="8">
        <f t="shared" si="76"/>
        <v>0</v>
      </c>
      <c r="O69" s="7">
        <f t="shared" si="48"/>
        <v>0</v>
      </c>
      <c r="P69" s="33">
        <f>SUM('[9]411'!$N$885)</f>
        <v>0</v>
      </c>
      <c r="Q69" s="269"/>
      <c r="R69" s="6">
        <f t="shared" si="120"/>
        <v>25000</v>
      </c>
      <c r="S69" s="7">
        <f t="shared" si="98"/>
        <v>2.8894629782193329E-4</v>
      </c>
      <c r="T69" s="6">
        <f t="shared" si="121"/>
        <v>0</v>
      </c>
      <c r="U69" s="7">
        <f t="shared" si="122"/>
        <v>0</v>
      </c>
      <c r="V69" s="8">
        <f t="shared" si="123"/>
        <v>0</v>
      </c>
      <c r="W69" s="7">
        <f t="shared" si="124"/>
        <v>0</v>
      </c>
      <c r="X69" s="6">
        <f t="shared" si="125"/>
        <v>0</v>
      </c>
      <c r="Y69" s="9">
        <f t="shared" si="126"/>
        <v>0</v>
      </c>
      <c r="Z69" s="6"/>
      <c r="AA69" s="7">
        <f t="shared" si="136"/>
        <v>0</v>
      </c>
      <c r="AB69" s="8"/>
      <c r="AC69" s="7">
        <f t="shared" si="137"/>
        <v>0</v>
      </c>
      <c r="AD69" s="8"/>
      <c r="AE69" s="7">
        <f t="shared" si="138"/>
        <v>0</v>
      </c>
      <c r="AF69" s="8"/>
      <c r="AG69" s="9">
        <f t="shared" si="139"/>
        <v>0</v>
      </c>
      <c r="AH69" s="31">
        <f>SUM('[9]411'!$F$1800)</f>
        <v>6575102.2910000002</v>
      </c>
      <c r="AI69" s="7">
        <f t="shared" si="140"/>
        <v>0.83337349384860027</v>
      </c>
      <c r="AJ69" s="33">
        <f>SUM('[9]411'!$J$1800)</f>
        <v>92932.82</v>
      </c>
      <c r="AK69" s="7">
        <f t="shared" si="56"/>
        <v>1.4134049310108292</v>
      </c>
      <c r="AL69" s="8">
        <f t="shared" si="84"/>
        <v>6482169.4709999999</v>
      </c>
      <c r="AM69" s="7">
        <f t="shared" si="58"/>
        <v>98.586595068989169</v>
      </c>
      <c r="AN69" s="33">
        <f>SUM('[9]411'!$N$1800)</f>
        <v>6575102.2910000002</v>
      </c>
      <c r="AO69" s="9">
        <f t="shared" si="141"/>
        <v>100</v>
      </c>
      <c r="AP69" s="6"/>
      <c r="AQ69" s="7">
        <f t="shared" si="142"/>
        <v>0</v>
      </c>
      <c r="AR69" s="8"/>
      <c r="AS69" s="7">
        <f t="shared" si="143"/>
        <v>0</v>
      </c>
      <c r="AT69" s="8"/>
      <c r="AU69" s="7">
        <f t="shared" si="144"/>
        <v>0</v>
      </c>
      <c r="AV69" s="8"/>
      <c r="AW69" s="9">
        <f t="shared" si="145"/>
        <v>0</v>
      </c>
      <c r="AX69" s="6"/>
      <c r="AY69" s="7">
        <f t="shared" si="146"/>
        <v>0</v>
      </c>
      <c r="AZ69" s="8"/>
      <c r="BA69" s="7">
        <f t="shared" si="147"/>
        <v>0</v>
      </c>
      <c r="BB69" s="8"/>
      <c r="BC69" s="7">
        <f t="shared" si="148"/>
        <v>0</v>
      </c>
      <c r="BD69" s="8"/>
      <c r="BE69" s="9">
        <f t="shared" si="149"/>
        <v>0</v>
      </c>
      <c r="BF69" s="31">
        <f>SUM('[9]411'!$D$432)</f>
        <v>720000</v>
      </c>
      <c r="BG69" s="8">
        <f t="shared" si="127"/>
        <v>6575102.2910000002</v>
      </c>
      <c r="BH69" s="10">
        <f t="shared" si="150"/>
        <v>4.6330781560541677E-2</v>
      </c>
      <c r="BI69" s="6">
        <f>SUM([8]tuj!$H$320)</f>
        <v>0</v>
      </c>
      <c r="BJ69" s="8">
        <f t="shared" si="118"/>
        <v>6575102.2910000002</v>
      </c>
      <c r="BK69" s="8">
        <f t="shared" si="128"/>
        <v>92932.82</v>
      </c>
      <c r="BL69" s="7">
        <f t="shared" si="36"/>
        <v>1.4134049310108292</v>
      </c>
      <c r="BM69" s="8">
        <f t="shared" si="129"/>
        <v>6482169.4709999999</v>
      </c>
      <c r="BN69" s="7">
        <f t="shared" si="95"/>
        <v>98.586595068989169</v>
      </c>
      <c r="BO69" s="11">
        <f t="shared" si="130"/>
        <v>6575102.2910000002</v>
      </c>
      <c r="BP69" s="9">
        <f t="shared" si="119"/>
        <v>100</v>
      </c>
    </row>
    <row r="70" spans="1:68" x14ac:dyDescent="0.2">
      <c r="A70" s="81" t="s">
        <v>363</v>
      </c>
      <c r="B70" s="31">
        <f>SUM('[9]413'!$F$434)</f>
        <v>0</v>
      </c>
      <c r="C70" s="7">
        <f t="shared" si="131"/>
        <v>0</v>
      </c>
      <c r="D70" s="33">
        <f>SUM('[9]413'!$J$434)</f>
        <v>0</v>
      </c>
      <c r="E70" s="7">
        <f t="shared" si="132"/>
        <v>0</v>
      </c>
      <c r="F70" s="8">
        <f t="shared" si="117"/>
        <v>0</v>
      </c>
      <c r="G70" s="7">
        <f t="shared" si="133"/>
        <v>0</v>
      </c>
      <c r="H70" s="33">
        <f>SUM('[9]413'!$N$434)</f>
        <v>0</v>
      </c>
      <c r="I70" s="9">
        <f t="shared" si="134"/>
        <v>0</v>
      </c>
      <c r="J70" s="31">
        <f>SUM('[9]413'!$F$885)</f>
        <v>892859.1</v>
      </c>
      <c r="K70" s="7">
        <f t="shared" si="135"/>
        <v>1.6969283807254099E-2</v>
      </c>
      <c r="L70" s="33">
        <f>SUM('[9]413'!$J$885)</f>
        <v>0</v>
      </c>
      <c r="M70" s="7">
        <f t="shared" si="46"/>
        <v>0</v>
      </c>
      <c r="N70" s="8">
        <f t="shared" si="76"/>
        <v>0</v>
      </c>
      <c r="O70" s="7">
        <f t="shared" si="48"/>
        <v>0</v>
      </c>
      <c r="P70" s="33">
        <f>SUM('[9]413'!$N$885)</f>
        <v>0</v>
      </c>
      <c r="Q70" s="269"/>
      <c r="R70" s="6">
        <f t="shared" si="120"/>
        <v>892859.1</v>
      </c>
      <c r="S70" s="7">
        <f t="shared" si="98"/>
        <v>1.0319533256864933E-2</v>
      </c>
      <c r="T70" s="6">
        <f t="shared" si="121"/>
        <v>0</v>
      </c>
      <c r="U70" s="7">
        <f t="shared" si="122"/>
        <v>0</v>
      </c>
      <c r="V70" s="8">
        <f t="shared" si="123"/>
        <v>0</v>
      </c>
      <c r="W70" s="7">
        <f t="shared" si="124"/>
        <v>0</v>
      </c>
      <c r="X70" s="6">
        <f t="shared" si="125"/>
        <v>0</v>
      </c>
      <c r="Y70" s="9">
        <f t="shared" si="126"/>
        <v>0</v>
      </c>
      <c r="Z70" s="6"/>
      <c r="AA70" s="7">
        <f t="shared" si="136"/>
        <v>0</v>
      </c>
      <c r="AB70" s="8"/>
      <c r="AC70" s="7">
        <f t="shared" si="137"/>
        <v>0</v>
      </c>
      <c r="AD70" s="8"/>
      <c r="AE70" s="7">
        <f t="shared" si="138"/>
        <v>0</v>
      </c>
      <c r="AF70" s="8"/>
      <c r="AG70" s="9">
        <f t="shared" si="139"/>
        <v>0</v>
      </c>
      <c r="AH70" s="31">
        <f>SUM('[9]413'!$F$1800)</f>
        <v>115875.94500000001</v>
      </c>
      <c r="AI70" s="7">
        <f t="shared" si="140"/>
        <v>1.4686910843933249E-2</v>
      </c>
      <c r="AJ70" s="33">
        <f>SUM('[9]413'!$J$1800)</f>
        <v>86940.945000000007</v>
      </c>
      <c r="AK70" s="7">
        <f t="shared" si="56"/>
        <v>75.029329857892421</v>
      </c>
      <c r="AL70" s="8">
        <f t="shared" si="84"/>
        <v>0</v>
      </c>
      <c r="AM70" s="7">
        <f t="shared" si="58"/>
        <v>0</v>
      </c>
      <c r="AN70" s="33">
        <f>SUM('[9]413'!$N$1800)</f>
        <v>86940.945000000007</v>
      </c>
      <c r="AO70" s="9">
        <f t="shared" si="141"/>
        <v>75.029329857892421</v>
      </c>
      <c r="AP70" s="6"/>
      <c r="AQ70" s="7">
        <f t="shared" si="142"/>
        <v>0</v>
      </c>
      <c r="AR70" s="8"/>
      <c r="AS70" s="7">
        <f t="shared" si="143"/>
        <v>0</v>
      </c>
      <c r="AT70" s="8"/>
      <c r="AU70" s="7">
        <f t="shared" si="144"/>
        <v>0</v>
      </c>
      <c r="AV70" s="8"/>
      <c r="AW70" s="9">
        <f t="shared" si="145"/>
        <v>0</v>
      </c>
      <c r="AX70" s="6"/>
      <c r="AY70" s="7">
        <f t="shared" si="146"/>
        <v>0</v>
      </c>
      <c r="AZ70" s="8"/>
      <c r="BA70" s="7">
        <f t="shared" si="147"/>
        <v>0</v>
      </c>
      <c r="BB70" s="8"/>
      <c r="BC70" s="7">
        <f t="shared" si="148"/>
        <v>0</v>
      </c>
      <c r="BD70" s="8"/>
      <c r="BE70" s="9">
        <f t="shared" si="149"/>
        <v>0</v>
      </c>
      <c r="BF70" s="31">
        <f>SUM('[9]413'!$D$432)</f>
        <v>120000</v>
      </c>
      <c r="BG70" s="8">
        <f t="shared" si="127"/>
        <v>115875.94500000001</v>
      </c>
      <c r="BH70" s="10">
        <f t="shared" si="150"/>
        <v>8.1650792007675877E-4</v>
      </c>
      <c r="BI70" s="6">
        <f>SUM([8]cen!$H$320)</f>
        <v>0</v>
      </c>
      <c r="BJ70" s="8">
        <f t="shared" si="118"/>
        <v>115875.94500000001</v>
      </c>
      <c r="BK70" s="8">
        <f t="shared" si="128"/>
        <v>86940.945000000007</v>
      </c>
      <c r="BL70" s="7">
        <f t="shared" si="36"/>
        <v>75.029329857892421</v>
      </c>
      <c r="BM70" s="8">
        <f t="shared" si="129"/>
        <v>0</v>
      </c>
      <c r="BN70" s="7">
        <f t="shared" si="95"/>
        <v>0</v>
      </c>
      <c r="BO70" s="11">
        <f t="shared" si="130"/>
        <v>86940.945000000007</v>
      </c>
      <c r="BP70" s="9">
        <f t="shared" si="119"/>
        <v>75.029329857892421</v>
      </c>
    </row>
    <row r="71" spans="1:68" x14ac:dyDescent="0.2">
      <c r="A71" s="81" t="s">
        <v>364</v>
      </c>
      <c r="B71" s="31">
        <f>SUM('[9]407'!$F$434)</f>
        <v>0</v>
      </c>
      <c r="C71" s="7">
        <f t="shared" si="131"/>
        <v>0</v>
      </c>
      <c r="D71" s="33">
        <f>SUM('[9]407'!$J$434)</f>
        <v>0</v>
      </c>
      <c r="E71" s="7">
        <f t="shared" si="132"/>
        <v>0</v>
      </c>
      <c r="F71" s="8">
        <f t="shared" si="117"/>
        <v>0</v>
      </c>
      <c r="G71" s="7">
        <f t="shared" si="133"/>
        <v>0</v>
      </c>
      <c r="H71" s="33">
        <f>SUM('[9]407'!$N$434)</f>
        <v>0</v>
      </c>
      <c r="I71" s="9">
        <f t="shared" si="134"/>
        <v>0</v>
      </c>
      <c r="J71" s="31">
        <f>SUM('[9]407'!$F$885)</f>
        <v>383141.43400000001</v>
      </c>
      <c r="K71" s="7">
        <f t="shared" si="135"/>
        <v>7.2818160579472329E-3</v>
      </c>
      <c r="L71" s="33">
        <f>SUM('[9]407'!$J$885)</f>
        <v>0</v>
      </c>
      <c r="M71" s="7">
        <f t="shared" si="46"/>
        <v>0</v>
      </c>
      <c r="N71" s="8">
        <f t="shared" si="76"/>
        <v>0</v>
      </c>
      <c r="O71" s="7">
        <f t="shared" si="48"/>
        <v>0</v>
      </c>
      <c r="P71" s="33">
        <f>SUM('[9]407'!$N$885)</f>
        <v>0</v>
      </c>
      <c r="Q71" s="269"/>
      <c r="R71" s="6">
        <f t="shared" si="120"/>
        <v>383141.43400000001</v>
      </c>
      <c r="S71" s="7">
        <f t="shared" si="98"/>
        <v>4.4282919558594645E-3</v>
      </c>
      <c r="T71" s="6">
        <f t="shared" si="121"/>
        <v>0</v>
      </c>
      <c r="U71" s="7">
        <f t="shared" si="122"/>
        <v>0</v>
      </c>
      <c r="V71" s="8">
        <f t="shared" si="123"/>
        <v>0</v>
      </c>
      <c r="W71" s="7">
        <f t="shared" si="124"/>
        <v>0</v>
      </c>
      <c r="X71" s="6">
        <f t="shared" si="125"/>
        <v>0</v>
      </c>
      <c r="Y71" s="9">
        <f t="shared" si="126"/>
        <v>0</v>
      </c>
      <c r="Z71" s="6"/>
      <c r="AA71" s="7">
        <f t="shared" si="136"/>
        <v>0</v>
      </c>
      <c r="AB71" s="8"/>
      <c r="AC71" s="7">
        <f t="shared" si="137"/>
        <v>0</v>
      </c>
      <c r="AD71" s="8"/>
      <c r="AE71" s="7">
        <f t="shared" si="138"/>
        <v>0</v>
      </c>
      <c r="AF71" s="8"/>
      <c r="AG71" s="9">
        <f t="shared" si="139"/>
        <v>0</v>
      </c>
      <c r="AH71" s="31">
        <f>SUM('[9]407'!$F$1800)</f>
        <v>703527.924</v>
      </c>
      <c r="AI71" s="7">
        <f t="shared" si="140"/>
        <v>8.9169947187964199E-2</v>
      </c>
      <c r="AJ71" s="33">
        <f>SUM('[9]407'!$J$1800)</f>
        <v>460980.13400000002</v>
      </c>
      <c r="AK71" s="7">
        <f t="shared" si="56"/>
        <v>65.524070655083193</v>
      </c>
      <c r="AL71" s="8">
        <f t="shared" si="84"/>
        <v>9718.1599999999744</v>
      </c>
      <c r="AM71" s="7">
        <f t="shared" si="58"/>
        <v>1.3813467338646781</v>
      </c>
      <c r="AN71" s="33">
        <f>SUM('[9]407'!$N$1800)</f>
        <v>470698.29399999999</v>
      </c>
      <c r="AO71" s="9">
        <f t="shared" si="141"/>
        <v>66.905417388947868</v>
      </c>
      <c r="AP71" s="6"/>
      <c r="AQ71" s="7">
        <f t="shared" si="142"/>
        <v>0</v>
      </c>
      <c r="AR71" s="8"/>
      <c r="AS71" s="7">
        <f t="shared" si="143"/>
        <v>0</v>
      </c>
      <c r="AT71" s="8"/>
      <c r="AU71" s="7">
        <f t="shared" si="144"/>
        <v>0</v>
      </c>
      <c r="AV71" s="8"/>
      <c r="AW71" s="9">
        <f t="shared" si="145"/>
        <v>0</v>
      </c>
      <c r="AX71" s="6"/>
      <c r="AY71" s="7">
        <f t="shared" si="146"/>
        <v>0</v>
      </c>
      <c r="AZ71" s="8"/>
      <c r="BA71" s="7">
        <f t="shared" si="147"/>
        <v>0</v>
      </c>
      <c r="BB71" s="8"/>
      <c r="BC71" s="7">
        <f t="shared" si="148"/>
        <v>0</v>
      </c>
      <c r="BD71" s="8"/>
      <c r="BE71" s="9">
        <f t="shared" si="149"/>
        <v>0</v>
      </c>
      <c r="BF71" s="31">
        <f>SUM('[9]407'!$D$432)</f>
        <v>686000</v>
      </c>
      <c r="BG71" s="8">
        <f t="shared" si="127"/>
        <v>703527.924</v>
      </c>
      <c r="BH71" s="10">
        <f t="shared" si="150"/>
        <v>4.9573371068616524E-3</v>
      </c>
      <c r="BI71" s="6">
        <f>SUM([8]bla!$H$320)</f>
        <v>0</v>
      </c>
      <c r="BJ71" s="8">
        <f t="shared" si="118"/>
        <v>703527.924</v>
      </c>
      <c r="BK71" s="8">
        <f t="shared" si="128"/>
        <v>460980.13400000002</v>
      </c>
      <c r="BL71" s="7">
        <f t="shared" ref="BL71:BL84" si="151">IF(OR(BK71=0,BG71=0),0,BK71/BG71)*100</f>
        <v>65.524070655083193</v>
      </c>
      <c r="BM71" s="8">
        <f t="shared" si="129"/>
        <v>9718.1599999999744</v>
      </c>
      <c r="BN71" s="7">
        <f t="shared" si="95"/>
        <v>1.3813467338646781</v>
      </c>
      <c r="BO71" s="11">
        <f t="shared" si="130"/>
        <v>470698.29399999999</v>
      </c>
      <c r="BP71" s="9">
        <f t="shared" si="119"/>
        <v>66.905417388947868</v>
      </c>
    </row>
    <row r="72" spans="1:68" x14ac:dyDescent="0.2">
      <c r="A72" s="81" t="s">
        <v>365</v>
      </c>
      <c r="B72" s="31">
        <f>SUM('[9]412'!$F$434)</f>
        <v>0</v>
      </c>
      <c r="C72" s="7">
        <f t="shared" si="131"/>
        <v>0</v>
      </c>
      <c r="D72" s="33">
        <f>SUM('[9]412'!$J$434)</f>
        <v>0</v>
      </c>
      <c r="E72" s="7">
        <f t="shared" si="132"/>
        <v>0</v>
      </c>
      <c r="F72" s="8">
        <f t="shared" si="117"/>
        <v>0</v>
      </c>
      <c r="G72" s="7">
        <f t="shared" si="133"/>
        <v>0</v>
      </c>
      <c r="H72" s="33">
        <f>SUM('[9]412'!$N$434)</f>
        <v>0</v>
      </c>
      <c r="I72" s="9">
        <f t="shared" si="134"/>
        <v>0</v>
      </c>
      <c r="J72" s="31">
        <f>SUM('[9]412'!$F$885)</f>
        <v>0</v>
      </c>
      <c r="K72" s="7">
        <f t="shared" si="135"/>
        <v>0</v>
      </c>
      <c r="L72" s="33">
        <f>SUM('[9]412'!$J$885)</f>
        <v>0</v>
      </c>
      <c r="M72" s="7">
        <f t="shared" si="46"/>
        <v>0</v>
      </c>
      <c r="N72" s="8">
        <f t="shared" si="76"/>
        <v>0</v>
      </c>
      <c r="O72" s="7">
        <f t="shared" si="48"/>
        <v>0</v>
      </c>
      <c r="P72" s="33">
        <f>SUM('[9]412'!$N$885)</f>
        <v>0</v>
      </c>
      <c r="Q72" s="269"/>
      <c r="R72" s="6">
        <f t="shared" si="120"/>
        <v>0</v>
      </c>
      <c r="S72" s="7">
        <f t="shared" si="98"/>
        <v>0</v>
      </c>
      <c r="T72" s="6">
        <f t="shared" si="121"/>
        <v>0</v>
      </c>
      <c r="U72" s="7">
        <f t="shared" si="122"/>
        <v>0</v>
      </c>
      <c r="V72" s="8">
        <f t="shared" si="123"/>
        <v>0</v>
      </c>
      <c r="W72" s="7">
        <f t="shared" si="124"/>
        <v>0</v>
      </c>
      <c r="X72" s="6">
        <f t="shared" si="125"/>
        <v>0</v>
      </c>
      <c r="Y72" s="9">
        <f t="shared" si="126"/>
        <v>0</v>
      </c>
      <c r="Z72" s="6"/>
      <c r="AA72" s="7">
        <f t="shared" si="136"/>
        <v>0</v>
      </c>
      <c r="AB72" s="8"/>
      <c r="AC72" s="7">
        <f t="shared" si="137"/>
        <v>0</v>
      </c>
      <c r="AD72" s="8"/>
      <c r="AE72" s="7">
        <f t="shared" si="138"/>
        <v>0</v>
      </c>
      <c r="AF72" s="8"/>
      <c r="AG72" s="9">
        <f t="shared" si="139"/>
        <v>0</v>
      </c>
      <c r="AH72" s="31">
        <f>SUM('[9]412'!$F$1800)</f>
        <v>820610.40299999993</v>
      </c>
      <c r="AI72" s="7">
        <f t="shared" si="140"/>
        <v>0.10400978241398705</v>
      </c>
      <c r="AJ72" s="33">
        <f>SUM('[9]412'!$J$1800)</f>
        <v>33961.563999999998</v>
      </c>
      <c r="AK72" s="7">
        <f t="shared" si="56"/>
        <v>4.138573417524662</v>
      </c>
      <c r="AL72" s="8">
        <f t="shared" si="84"/>
        <v>331895.44699999999</v>
      </c>
      <c r="AM72" s="7">
        <f t="shared" si="58"/>
        <v>40.444947539861985</v>
      </c>
      <c r="AN72" s="33">
        <f>SUM('[9]412'!$N$1800)</f>
        <v>365857.011</v>
      </c>
      <c r="AO72" s="9">
        <f t="shared" si="141"/>
        <v>44.583520957386646</v>
      </c>
      <c r="AP72" s="6"/>
      <c r="AQ72" s="7">
        <f t="shared" si="142"/>
        <v>0</v>
      </c>
      <c r="AR72" s="8"/>
      <c r="AS72" s="7">
        <f t="shared" si="143"/>
        <v>0</v>
      </c>
      <c r="AT72" s="8"/>
      <c r="AU72" s="7">
        <f t="shared" si="144"/>
        <v>0</v>
      </c>
      <c r="AV72" s="8"/>
      <c r="AW72" s="9">
        <f t="shared" si="145"/>
        <v>0</v>
      </c>
      <c r="AX72" s="6"/>
      <c r="AY72" s="7">
        <f t="shared" si="146"/>
        <v>0</v>
      </c>
      <c r="AZ72" s="8"/>
      <c r="BA72" s="7">
        <f t="shared" si="147"/>
        <v>0</v>
      </c>
      <c r="BB72" s="8"/>
      <c r="BC72" s="7">
        <f t="shared" si="148"/>
        <v>0</v>
      </c>
      <c r="BD72" s="8"/>
      <c r="BE72" s="9">
        <f t="shared" si="149"/>
        <v>0</v>
      </c>
      <c r="BF72" s="31">
        <f>SUM('[9]412'!$D$432)</f>
        <v>560000</v>
      </c>
      <c r="BG72" s="8">
        <f t="shared" si="127"/>
        <v>820610.40299999993</v>
      </c>
      <c r="BH72" s="10">
        <f t="shared" si="150"/>
        <v>5.7823467445886267E-3</v>
      </c>
      <c r="BI72" s="6">
        <f>SUM([8]cha!$H$320)</f>
        <v>0</v>
      </c>
      <c r="BJ72" s="8">
        <f t="shared" si="118"/>
        <v>820610.40299999993</v>
      </c>
      <c r="BK72" s="8">
        <f t="shared" si="128"/>
        <v>33961.563999999998</v>
      </c>
      <c r="BL72" s="7">
        <f t="shared" si="151"/>
        <v>4.138573417524662</v>
      </c>
      <c r="BM72" s="8">
        <f t="shared" si="129"/>
        <v>331895.44699999999</v>
      </c>
      <c r="BN72" s="7">
        <f t="shared" si="95"/>
        <v>40.444947539861985</v>
      </c>
      <c r="BO72" s="11">
        <f t="shared" si="130"/>
        <v>365857.011</v>
      </c>
      <c r="BP72" s="9">
        <f t="shared" si="119"/>
        <v>44.583520957386646</v>
      </c>
    </row>
    <row r="73" spans="1:68" x14ac:dyDescent="0.2">
      <c r="A73" s="81" t="s">
        <v>366</v>
      </c>
      <c r="B73" s="31">
        <f>SUM('[9]414'!$F$434)</f>
        <v>0</v>
      </c>
      <c r="C73" s="7">
        <f t="shared" si="131"/>
        <v>0</v>
      </c>
      <c r="D73" s="33">
        <f>SUM('[9]414'!$J$434)</f>
        <v>0</v>
      </c>
      <c r="E73" s="7">
        <f t="shared" si="132"/>
        <v>0</v>
      </c>
      <c r="F73" s="8">
        <f t="shared" si="117"/>
        <v>0</v>
      </c>
      <c r="G73" s="7">
        <f t="shared" si="133"/>
        <v>0</v>
      </c>
      <c r="H73" s="33">
        <f>SUM('[9]414'!$N$434)</f>
        <v>0</v>
      </c>
      <c r="I73" s="9">
        <f t="shared" si="134"/>
        <v>0</v>
      </c>
      <c r="J73" s="31">
        <f>SUM('[9]414'!$F$885)</f>
        <v>3189833.4349999996</v>
      </c>
      <c r="K73" s="7">
        <f t="shared" si="135"/>
        <v>6.0624558630116676E-2</v>
      </c>
      <c r="L73" s="33">
        <f>SUM('[9]414'!$J$885)</f>
        <v>0</v>
      </c>
      <c r="M73" s="7">
        <f t="shared" si="46"/>
        <v>0</v>
      </c>
      <c r="N73" s="8">
        <f t="shared" si="76"/>
        <v>0</v>
      </c>
      <c r="O73" s="7">
        <f t="shared" si="48"/>
        <v>0</v>
      </c>
      <c r="P73" s="33">
        <f>SUM('[9]414'!$N$885)</f>
        <v>0</v>
      </c>
      <c r="Q73" s="269"/>
      <c r="R73" s="6">
        <f t="shared" si="120"/>
        <v>3189833.4349999996</v>
      </c>
      <c r="S73" s="7">
        <f t="shared" si="98"/>
        <v>3.6867622468474817E-2</v>
      </c>
      <c r="T73" s="6">
        <f t="shared" si="121"/>
        <v>0</v>
      </c>
      <c r="U73" s="7">
        <f t="shared" si="122"/>
        <v>0</v>
      </c>
      <c r="V73" s="8">
        <f t="shared" si="123"/>
        <v>0</v>
      </c>
      <c r="W73" s="7">
        <f t="shared" si="124"/>
        <v>0</v>
      </c>
      <c r="X73" s="6">
        <f t="shared" si="125"/>
        <v>0</v>
      </c>
      <c r="Y73" s="9">
        <f t="shared" si="126"/>
        <v>0</v>
      </c>
      <c r="Z73" s="6"/>
      <c r="AA73" s="7">
        <f t="shared" si="136"/>
        <v>0</v>
      </c>
      <c r="AB73" s="8"/>
      <c r="AC73" s="7">
        <f t="shared" si="137"/>
        <v>0</v>
      </c>
      <c r="AD73" s="8"/>
      <c r="AE73" s="7">
        <f t="shared" si="138"/>
        <v>0</v>
      </c>
      <c r="AF73" s="8"/>
      <c r="AG73" s="9">
        <f t="shared" si="139"/>
        <v>0</v>
      </c>
      <c r="AH73" s="31">
        <f>SUM('[9]414'!$F$1800)</f>
        <v>2037009.1869999999</v>
      </c>
      <c r="AI73" s="7">
        <f t="shared" si="140"/>
        <v>0.25818449478657496</v>
      </c>
      <c r="AJ73" s="33">
        <f>SUM('[9]414'!$J$1800)</f>
        <v>616807.89500000002</v>
      </c>
      <c r="AK73" s="7">
        <f t="shared" si="56"/>
        <v>30.280074284220692</v>
      </c>
      <c r="AL73" s="8">
        <f t="shared" si="84"/>
        <v>1417001.2889999999</v>
      </c>
      <c r="AM73" s="7">
        <f t="shared" si="58"/>
        <v>69.562832511663089</v>
      </c>
      <c r="AN73" s="33">
        <f>SUM('[9]414'!$N$1800)</f>
        <v>2033809.1839999999</v>
      </c>
      <c r="AO73" s="9">
        <f t="shared" si="141"/>
        <v>99.842906795883778</v>
      </c>
      <c r="AP73" s="6"/>
      <c r="AQ73" s="7">
        <f t="shared" si="142"/>
        <v>0</v>
      </c>
      <c r="AR73" s="8"/>
      <c r="AS73" s="7">
        <f t="shared" si="143"/>
        <v>0</v>
      </c>
      <c r="AT73" s="8"/>
      <c r="AU73" s="7">
        <f t="shared" si="144"/>
        <v>0</v>
      </c>
      <c r="AV73" s="8"/>
      <c r="AW73" s="9">
        <f t="shared" si="145"/>
        <v>0</v>
      </c>
      <c r="AX73" s="6"/>
      <c r="AY73" s="7">
        <f t="shared" si="146"/>
        <v>0</v>
      </c>
      <c r="AZ73" s="8"/>
      <c r="BA73" s="7">
        <f t="shared" si="147"/>
        <v>0</v>
      </c>
      <c r="BB73" s="8"/>
      <c r="BC73" s="7">
        <f t="shared" si="148"/>
        <v>0</v>
      </c>
      <c r="BD73" s="8"/>
      <c r="BE73" s="9">
        <f t="shared" si="149"/>
        <v>0</v>
      </c>
      <c r="BF73" s="31">
        <f>SUM('[9]414'!$D$432)</f>
        <v>520000</v>
      </c>
      <c r="BG73" s="8">
        <f t="shared" si="127"/>
        <v>2037009.1869999999</v>
      </c>
      <c r="BH73" s="10">
        <f t="shared" si="150"/>
        <v>1.4353575579941283E-2</v>
      </c>
      <c r="BI73" s="6">
        <f>SUM([8]sub!$H$320)</f>
        <v>0</v>
      </c>
      <c r="BJ73" s="8">
        <f t="shared" si="118"/>
        <v>2037009.1869999999</v>
      </c>
      <c r="BK73" s="8">
        <f t="shared" si="128"/>
        <v>616807.89500000002</v>
      </c>
      <c r="BL73" s="7">
        <f t="shared" si="151"/>
        <v>30.280074284220692</v>
      </c>
      <c r="BM73" s="8">
        <f t="shared" si="129"/>
        <v>1417001.2889999999</v>
      </c>
      <c r="BN73" s="7">
        <f t="shared" si="95"/>
        <v>69.562832511663089</v>
      </c>
      <c r="BO73" s="11">
        <f t="shared" si="130"/>
        <v>2033809.1839999999</v>
      </c>
      <c r="BP73" s="9">
        <f t="shared" si="119"/>
        <v>99.842906795883778</v>
      </c>
    </row>
    <row r="74" spans="1:68" x14ac:dyDescent="0.2">
      <c r="A74" s="81" t="s">
        <v>367</v>
      </c>
      <c r="B74" s="31">
        <f>SUM('[9]416'!$F$434)</f>
        <v>0</v>
      </c>
      <c r="C74" s="7">
        <f t="shared" si="131"/>
        <v>0</v>
      </c>
      <c r="D74" s="33">
        <f>SUM('[9]416'!$J$434)</f>
        <v>0</v>
      </c>
      <c r="E74" s="7">
        <f t="shared" si="132"/>
        <v>0</v>
      </c>
      <c r="F74" s="8">
        <f t="shared" si="117"/>
        <v>0</v>
      </c>
      <c r="G74" s="7">
        <f t="shared" si="133"/>
        <v>0</v>
      </c>
      <c r="H74" s="33">
        <f>SUM('[9]416'!$N$434)</f>
        <v>0</v>
      </c>
      <c r="I74" s="9">
        <f t="shared" si="134"/>
        <v>0</v>
      </c>
      <c r="J74" s="31">
        <f>SUM('[9]416'!$F$885)</f>
        <v>0</v>
      </c>
      <c r="K74" s="7">
        <f t="shared" si="135"/>
        <v>0</v>
      </c>
      <c r="L74" s="33">
        <f>SUM('[9]416'!$J$885)</f>
        <v>0</v>
      </c>
      <c r="M74" s="7">
        <f t="shared" si="46"/>
        <v>0</v>
      </c>
      <c r="N74" s="8">
        <f t="shared" si="76"/>
        <v>0</v>
      </c>
      <c r="O74" s="7">
        <f t="shared" si="48"/>
        <v>0</v>
      </c>
      <c r="P74" s="33">
        <f>SUM('[9]416'!$N$885)</f>
        <v>0</v>
      </c>
      <c r="Q74" s="269"/>
      <c r="R74" s="6">
        <f t="shared" si="120"/>
        <v>0</v>
      </c>
      <c r="S74" s="7">
        <f t="shared" si="98"/>
        <v>0</v>
      </c>
      <c r="T74" s="6">
        <f t="shared" si="121"/>
        <v>0</v>
      </c>
      <c r="U74" s="7">
        <f t="shared" si="122"/>
        <v>0</v>
      </c>
      <c r="V74" s="8">
        <f t="shared" si="123"/>
        <v>0</v>
      </c>
      <c r="W74" s="7">
        <f t="shared" si="124"/>
        <v>0</v>
      </c>
      <c r="X74" s="6">
        <f t="shared" si="125"/>
        <v>0</v>
      </c>
      <c r="Y74" s="9">
        <f t="shared" si="126"/>
        <v>0</v>
      </c>
      <c r="Z74" s="6"/>
      <c r="AA74" s="7">
        <f t="shared" si="136"/>
        <v>0</v>
      </c>
      <c r="AB74" s="8"/>
      <c r="AC74" s="7">
        <f t="shared" si="137"/>
        <v>0</v>
      </c>
      <c r="AD74" s="8"/>
      <c r="AE74" s="7">
        <f t="shared" si="138"/>
        <v>0</v>
      </c>
      <c r="AF74" s="8"/>
      <c r="AG74" s="9">
        <f t="shared" si="139"/>
        <v>0</v>
      </c>
      <c r="AH74" s="31">
        <f>SUM('[9]416'!$F$1800)</f>
        <v>0</v>
      </c>
      <c r="AI74" s="7">
        <f t="shared" si="140"/>
        <v>0</v>
      </c>
      <c r="AJ74" s="33">
        <f>SUM('[9]416'!$J$1800)</f>
        <v>0</v>
      </c>
      <c r="AK74" s="7">
        <f t="shared" si="56"/>
        <v>0</v>
      </c>
      <c r="AL74" s="8">
        <f t="shared" si="84"/>
        <v>0</v>
      </c>
      <c r="AM74" s="7">
        <f t="shared" si="58"/>
        <v>0</v>
      </c>
      <c r="AN74" s="33">
        <f>SUM('[9]416'!$N$1800)</f>
        <v>0</v>
      </c>
      <c r="AO74" s="9">
        <f t="shared" si="141"/>
        <v>0</v>
      </c>
      <c r="AP74" s="6"/>
      <c r="AQ74" s="7">
        <f t="shared" si="142"/>
        <v>0</v>
      </c>
      <c r="AR74" s="8"/>
      <c r="AS74" s="7">
        <f t="shared" si="143"/>
        <v>0</v>
      </c>
      <c r="AT74" s="8"/>
      <c r="AU74" s="7">
        <f t="shared" si="144"/>
        <v>0</v>
      </c>
      <c r="AV74" s="8"/>
      <c r="AW74" s="9">
        <f t="shared" si="145"/>
        <v>0</v>
      </c>
      <c r="AX74" s="6"/>
      <c r="AY74" s="7">
        <f t="shared" si="146"/>
        <v>0</v>
      </c>
      <c r="AZ74" s="8"/>
      <c r="BA74" s="7">
        <f t="shared" si="147"/>
        <v>0</v>
      </c>
      <c r="BB74" s="8"/>
      <c r="BC74" s="7">
        <f t="shared" si="148"/>
        <v>0</v>
      </c>
      <c r="BD74" s="8"/>
      <c r="BE74" s="9">
        <f t="shared" si="149"/>
        <v>0</v>
      </c>
      <c r="BF74" s="31">
        <f>SUM('[9]416'!$D$432)</f>
        <v>0</v>
      </c>
      <c r="BG74" s="8">
        <f t="shared" si="127"/>
        <v>0</v>
      </c>
      <c r="BH74" s="10">
        <f t="shared" si="150"/>
        <v>0</v>
      </c>
      <c r="BI74" s="6">
        <f>SUM([8]usa!$H$320)</f>
        <v>0</v>
      </c>
      <c r="BJ74" s="8">
        <f t="shared" si="118"/>
        <v>0</v>
      </c>
      <c r="BK74" s="8">
        <f t="shared" si="128"/>
        <v>0</v>
      </c>
      <c r="BL74" s="7">
        <f t="shared" si="151"/>
        <v>0</v>
      </c>
      <c r="BM74" s="8">
        <f t="shared" si="129"/>
        <v>0</v>
      </c>
      <c r="BN74" s="7">
        <f t="shared" si="95"/>
        <v>0</v>
      </c>
      <c r="BO74" s="11">
        <f t="shared" si="130"/>
        <v>0</v>
      </c>
      <c r="BP74" s="9">
        <f t="shared" si="119"/>
        <v>0</v>
      </c>
    </row>
    <row r="75" spans="1:68" x14ac:dyDescent="0.2">
      <c r="A75" s="81" t="s">
        <v>368</v>
      </c>
      <c r="B75" s="31">
        <f>SUM('[9]417'!$F$434)</f>
        <v>160000</v>
      </c>
      <c r="C75" s="7">
        <f t="shared" si="131"/>
        <v>4.7190574822474117E-3</v>
      </c>
      <c r="D75" s="33">
        <f>SUM('[9]417'!$J$434)</f>
        <v>120000</v>
      </c>
      <c r="E75" s="7">
        <f t="shared" si="132"/>
        <v>75</v>
      </c>
      <c r="F75" s="8">
        <f t="shared" si="117"/>
        <v>40000</v>
      </c>
      <c r="G75" s="7">
        <f t="shared" si="133"/>
        <v>25</v>
      </c>
      <c r="H75" s="33">
        <f>SUM('[9]417'!$N$434)</f>
        <v>160000</v>
      </c>
      <c r="I75" s="9">
        <f t="shared" si="134"/>
        <v>100</v>
      </c>
      <c r="J75" s="31">
        <f>SUM('[9]417'!$F$885)</f>
        <v>1050000</v>
      </c>
      <c r="K75" s="7">
        <f t="shared" si="135"/>
        <v>1.9955834014142658E-2</v>
      </c>
      <c r="L75" s="33">
        <f>SUM('[9]417'!$J$885)</f>
        <v>0</v>
      </c>
      <c r="M75" s="7">
        <f t="shared" si="46"/>
        <v>0</v>
      </c>
      <c r="N75" s="8">
        <f t="shared" si="76"/>
        <v>0</v>
      </c>
      <c r="O75" s="7">
        <f t="shared" si="48"/>
        <v>0</v>
      </c>
      <c r="P75" s="33">
        <f>SUM('[9]417'!$N$885)</f>
        <v>0</v>
      </c>
      <c r="Q75" s="269"/>
      <c r="R75" s="6">
        <f t="shared" si="120"/>
        <v>1210000</v>
      </c>
      <c r="S75" s="7">
        <f t="shared" si="98"/>
        <v>1.3985000814581572E-2</v>
      </c>
      <c r="T75" s="6">
        <f t="shared" si="121"/>
        <v>120000</v>
      </c>
      <c r="U75" s="7">
        <f t="shared" si="122"/>
        <v>9.9173553719008272</v>
      </c>
      <c r="V75" s="8">
        <f t="shared" si="123"/>
        <v>40000</v>
      </c>
      <c r="W75" s="7">
        <f t="shared" si="124"/>
        <v>3.3057851239669422</v>
      </c>
      <c r="X75" s="6">
        <f t="shared" si="125"/>
        <v>160000</v>
      </c>
      <c r="Y75" s="9">
        <f t="shared" si="126"/>
        <v>13.223140495867769</v>
      </c>
      <c r="Z75" s="6"/>
      <c r="AA75" s="7">
        <f t="shared" si="136"/>
        <v>0</v>
      </c>
      <c r="AB75" s="8"/>
      <c r="AC75" s="7">
        <f t="shared" si="137"/>
        <v>0</v>
      </c>
      <c r="AD75" s="8"/>
      <c r="AE75" s="7">
        <f t="shared" si="138"/>
        <v>0</v>
      </c>
      <c r="AF75" s="8"/>
      <c r="AG75" s="9">
        <f t="shared" si="139"/>
        <v>0</v>
      </c>
      <c r="AH75" s="31">
        <f>SUM('[9]417'!$F$1800)</f>
        <v>475438.11800000002</v>
      </c>
      <c r="AI75" s="7">
        <f t="shared" si="140"/>
        <v>6.0260283105983858E-2</v>
      </c>
      <c r="AJ75" s="33">
        <f>SUM('[9]417'!$J$1800)</f>
        <v>352720.43199999997</v>
      </c>
      <c r="AK75" s="7">
        <f t="shared" si="56"/>
        <v>74.188505011707946</v>
      </c>
      <c r="AL75" s="8">
        <f t="shared" si="84"/>
        <v>122717.68600000005</v>
      </c>
      <c r="AM75" s="7">
        <f t="shared" si="58"/>
        <v>25.811494988292051</v>
      </c>
      <c r="AN75" s="33">
        <f>SUM('[9]417'!$N$1800)</f>
        <v>475438.11800000002</v>
      </c>
      <c r="AO75" s="9">
        <f t="shared" si="141"/>
        <v>100</v>
      </c>
      <c r="AP75" s="6"/>
      <c r="AQ75" s="7">
        <f t="shared" si="142"/>
        <v>0</v>
      </c>
      <c r="AR75" s="8"/>
      <c r="AS75" s="7">
        <f t="shared" si="143"/>
        <v>0</v>
      </c>
      <c r="AT75" s="8"/>
      <c r="AU75" s="7">
        <f t="shared" si="144"/>
        <v>0</v>
      </c>
      <c r="AV75" s="8"/>
      <c r="AW75" s="9">
        <f t="shared" si="145"/>
        <v>0</v>
      </c>
      <c r="AX75" s="6"/>
      <c r="AY75" s="7">
        <f t="shared" si="146"/>
        <v>0</v>
      </c>
      <c r="AZ75" s="8"/>
      <c r="BA75" s="7">
        <f t="shared" si="147"/>
        <v>0</v>
      </c>
      <c r="BB75" s="8"/>
      <c r="BC75" s="7">
        <f t="shared" si="148"/>
        <v>0</v>
      </c>
      <c r="BD75" s="8"/>
      <c r="BE75" s="9">
        <f t="shared" si="149"/>
        <v>0</v>
      </c>
      <c r="BF75" s="31">
        <f>SUM('[9]417'!$D$432)</f>
        <v>200000</v>
      </c>
      <c r="BG75" s="8">
        <f t="shared" si="127"/>
        <v>635438.11800000002</v>
      </c>
      <c r="BH75" s="10">
        <f t="shared" si="150"/>
        <v>4.4775492969284514E-3</v>
      </c>
      <c r="BI75" s="6">
        <f>SUM([8]usm!$H$320)</f>
        <v>0</v>
      </c>
      <c r="BJ75" s="8">
        <f t="shared" si="118"/>
        <v>635438.11800000002</v>
      </c>
      <c r="BK75" s="8">
        <f t="shared" si="128"/>
        <v>472720.43199999997</v>
      </c>
      <c r="BL75" s="7">
        <f t="shared" si="151"/>
        <v>74.392835212318815</v>
      </c>
      <c r="BM75" s="8">
        <f t="shared" si="129"/>
        <v>162717.68600000005</v>
      </c>
      <c r="BN75" s="7">
        <f t="shared" si="95"/>
        <v>25.607164787681185</v>
      </c>
      <c r="BO75" s="11">
        <f t="shared" si="130"/>
        <v>635438.11800000002</v>
      </c>
      <c r="BP75" s="9">
        <f t="shared" si="119"/>
        <v>100</v>
      </c>
    </row>
    <row r="76" spans="1:68" x14ac:dyDescent="0.2">
      <c r="A76" s="81" t="s">
        <v>369</v>
      </c>
      <c r="B76" s="31">
        <f>SUM('[9]418'!$F$434)</f>
        <v>297462.3200000003</v>
      </c>
      <c r="C76" s="7">
        <f t="shared" si="131"/>
        <v>8.7733861680167214E-3</v>
      </c>
      <c r="D76" s="33">
        <f>SUM('[9]418'!$J$434)</f>
        <v>208576.55</v>
      </c>
      <c r="E76" s="7">
        <f t="shared" si="132"/>
        <v>70.118645615350474</v>
      </c>
      <c r="F76" s="8">
        <f t="shared" si="117"/>
        <v>88885.770000000019</v>
      </c>
      <c r="G76" s="7">
        <f t="shared" si="133"/>
        <v>29.881354384649434</v>
      </c>
      <c r="H76" s="33">
        <f>SUM('[9]418'!$N$434)</f>
        <v>297462.32</v>
      </c>
      <c r="I76" s="9">
        <f t="shared" si="134"/>
        <v>99.999999999999901</v>
      </c>
      <c r="J76" s="31">
        <f>SUM('[9]418'!$F$885)</f>
        <v>33510057.158</v>
      </c>
      <c r="K76" s="7">
        <f t="shared" si="135"/>
        <v>0.63687727471379163</v>
      </c>
      <c r="L76" s="33">
        <f>SUM('[9]418'!$J$885)</f>
        <v>0</v>
      </c>
      <c r="M76" s="7">
        <f t="shared" si="46"/>
        <v>0</v>
      </c>
      <c r="N76" s="8">
        <f t="shared" si="76"/>
        <v>0</v>
      </c>
      <c r="O76" s="7">
        <f t="shared" si="48"/>
        <v>0</v>
      </c>
      <c r="P76" s="33">
        <f>SUM('[9]418'!$N$885)</f>
        <v>0</v>
      </c>
      <c r="Q76" s="269"/>
      <c r="R76" s="6">
        <f t="shared" si="120"/>
        <v>33807519.478</v>
      </c>
      <c r="S76" s="7">
        <f t="shared" si="98"/>
        <v>0.39074230366843998</v>
      </c>
      <c r="T76" s="6">
        <f t="shared" si="121"/>
        <v>208576.55</v>
      </c>
      <c r="U76" s="7">
        <f t="shared" si="122"/>
        <v>0.6169531311983113</v>
      </c>
      <c r="V76" s="8">
        <f t="shared" si="123"/>
        <v>88885.770000000019</v>
      </c>
      <c r="W76" s="7">
        <f t="shared" si="124"/>
        <v>0.26291715976926905</v>
      </c>
      <c r="X76" s="6">
        <f t="shared" si="125"/>
        <v>297462.32</v>
      </c>
      <c r="Y76" s="9">
        <f t="shared" si="126"/>
        <v>0.8798702909675804</v>
      </c>
      <c r="Z76" s="6"/>
      <c r="AA76" s="7">
        <f t="shared" si="136"/>
        <v>0</v>
      </c>
      <c r="AB76" s="8"/>
      <c r="AC76" s="7">
        <f t="shared" si="137"/>
        <v>0</v>
      </c>
      <c r="AD76" s="8"/>
      <c r="AE76" s="7">
        <f t="shared" si="138"/>
        <v>0</v>
      </c>
      <c r="AF76" s="8"/>
      <c r="AG76" s="9">
        <f t="shared" si="139"/>
        <v>0</v>
      </c>
      <c r="AH76" s="31">
        <f>SUM('[9]418'!$F$1800)</f>
        <v>428465.79200000002</v>
      </c>
      <c r="AI76" s="7">
        <f t="shared" si="140"/>
        <v>5.4306688819489211E-2</v>
      </c>
      <c r="AJ76" s="33">
        <f>SUM('[9]418'!$J$1800)</f>
        <v>165501.29</v>
      </c>
      <c r="AK76" s="7">
        <f t="shared" si="56"/>
        <v>38.626488529567368</v>
      </c>
      <c r="AL76" s="8">
        <f t="shared" si="84"/>
        <v>261295.71</v>
      </c>
      <c r="AM76" s="7">
        <f t="shared" si="58"/>
        <v>60.984030669127485</v>
      </c>
      <c r="AN76" s="33">
        <f>SUM('[9]418'!$N$1800)</f>
        <v>426797</v>
      </c>
      <c r="AO76" s="9">
        <f t="shared" si="141"/>
        <v>99.61051919869486</v>
      </c>
      <c r="AP76" s="6"/>
      <c r="AQ76" s="7">
        <f t="shared" si="142"/>
        <v>0</v>
      </c>
      <c r="AR76" s="8"/>
      <c r="AS76" s="7">
        <f t="shared" si="143"/>
        <v>0</v>
      </c>
      <c r="AT76" s="8"/>
      <c r="AU76" s="7">
        <f t="shared" si="144"/>
        <v>0</v>
      </c>
      <c r="AV76" s="8"/>
      <c r="AW76" s="9">
        <f t="shared" si="145"/>
        <v>0</v>
      </c>
      <c r="AX76" s="6"/>
      <c r="AY76" s="7">
        <f t="shared" si="146"/>
        <v>0</v>
      </c>
      <c r="AZ76" s="8"/>
      <c r="BA76" s="7">
        <f t="shared" si="147"/>
        <v>0</v>
      </c>
      <c r="BB76" s="8"/>
      <c r="BC76" s="7">
        <f t="shared" si="148"/>
        <v>0</v>
      </c>
      <c r="BD76" s="8"/>
      <c r="BE76" s="9">
        <f t="shared" si="149"/>
        <v>0</v>
      </c>
      <c r="BF76" s="31">
        <f>SUM('[9]418'!$D$432)</f>
        <v>33393000</v>
      </c>
      <c r="BG76" s="8">
        <f t="shared" si="127"/>
        <v>725928.11200000031</v>
      </c>
      <c r="BH76" s="10">
        <f t="shared" si="150"/>
        <v>5.1151777260963743E-3</v>
      </c>
      <c r="BI76" s="6">
        <f>SUM([8]sur!$H$320)</f>
        <v>0</v>
      </c>
      <c r="BJ76" s="8">
        <f t="shared" si="118"/>
        <v>725928.11200000031</v>
      </c>
      <c r="BK76" s="8">
        <f t="shared" si="128"/>
        <v>374077.83999999997</v>
      </c>
      <c r="BL76" s="7">
        <f t="shared" si="151"/>
        <v>51.530975838555179</v>
      </c>
      <c r="BM76" s="8">
        <f t="shared" si="129"/>
        <v>350181.48</v>
      </c>
      <c r="BN76" s="7">
        <f t="shared" si="95"/>
        <v>48.239140241478871</v>
      </c>
      <c r="BO76" s="11">
        <f t="shared" si="130"/>
        <v>724259.32</v>
      </c>
      <c r="BP76" s="9">
        <f t="shared" si="119"/>
        <v>99.770116080034057</v>
      </c>
    </row>
    <row r="77" spans="1:68" x14ac:dyDescent="0.2">
      <c r="A77" s="81" t="s">
        <v>370</v>
      </c>
      <c r="B77" s="31">
        <f>SUM('[9]419'!$F$434)</f>
        <v>150832.03899999999</v>
      </c>
      <c r="C77" s="7">
        <f t="shared" si="131"/>
        <v>4.4486566387848953E-3</v>
      </c>
      <c r="D77" s="33">
        <f>SUM('[9]419'!$J$434)</f>
        <v>60332.815000000002</v>
      </c>
      <c r="E77" s="7">
        <f t="shared" si="132"/>
        <v>39.999999602206536</v>
      </c>
      <c r="F77" s="8">
        <f t="shared" si="117"/>
        <v>90499.223999999987</v>
      </c>
      <c r="G77" s="7">
        <f t="shared" si="133"/>
        <v>60.000000397793464</v>
      </c>
      <c r="H77" s="33">
        <f>SUM('[9]419'!$N$434)</f>
        <v>150832.03899999999</v>
      </c>
      <c r="I77" s="9">
        <f t="shared" si="134"/>
        <v>100</v>
      </c>
      <c r="J77" s="31">
        <f>SUM('[9]419'!$F$885)</f>
        <v>536669.69900000002</v>
      </c>
      <c r="K77" s="7">
        <f t="shared" si="135"/>
        <v>1.0199706127298957E-2</v>
      </c>
      <c r="L77" s="33">
        <f>SUM('[9]419'!$J$885)</f>
        <v>0</v>
      </c>
      <c r="M77" s="7">
        <f t="shared" si="46"/>
        <v>0</v>
      </c>
      <c r="N77" s="8">
        <f t="shared" si="76"/>
        <v>0</v>
      </c>
      <c r="O77" s="7">
        <f t="shared" si="48"/>
        <v>0</v>
      </c>
      <c r="P77" s="33">
        <f>SUM('[9]419'!$N$885)</f>
        <v>0</v>
      </c>
      <c r="Q77" s="269"/>
      <c r="R77" s="6">
        <f t="shared" si="120"/>
        <v>687501.73800000001</v>
      </c>
      <c r="S77" s="7">
        <f t="shared" si="98"/>
        <v>7.9460432776497902E-3</v>
      </c>
      <c r="T77" s="6">
        <f t="shared" si="121"/>
        <v>60332.815000000002</v>
      </c>
      <c r="U77" s="7">
        <f t="shared" si="122"/>
        <v>8.7756599969497096</v>
      </c>
      <c r="V77" s="8">
        <f t="shared" si="123"/>
        <v>90499.223999999987</v>
      </c>
      <c r="W77" s="7">
        <f t="shared" si="124"/>
        <v>13.163490213605829</v>
      </c>
      <c r="X77" s="6">
        <f t="shared" si="125"/>
        <v>150832.03899999999</v>
      </c>
      <c r="Y77" s="9">
        <f t="shared" si="126"/>
        <v>21.939150210555539</v>
      </c>
      <c r="Z77" s="6"/>
      <c r="AA77" s="7">
        <f t="shared" si="136"/>
        <v>0</v>
      </c>
      <c r="AB77" s="8"/>
      <c r="AC77" s="7">
        <f t="shared" si="137"/>
        <v>0</v>
      </c>
      <c r="AD77" s="8"/>
      <c r="AE77" s="7">
        <f t="shared" si="138"/>
        <v>0</v>
      </c>
      <c r="AF77" s="8"/>
      <c r="AG77" s="9">
        <f t="shared" si="139"/>
        <v>0</v>
      </c>
      <c r="AH77" s="31">
        <f>SUM('[9]419'!$F$1800)</f>
        <v>107498.262</v>
      </c>
      <c r="AI77" s="7">
        <f t="shared" si="140"/>
        <v>1.362506592607963E-2</v>
      </c>
      <c r="AJ77" s="33">
        <f>SUM('[9]419'!$J$1800)</f>
        <v>10420.821</v>
      </c>
      <c r="AK77" s="7">
        <f t="shared" si="56"/>
        <v>9.6939437030154032</v>
      </c>
      <c r="AL77" s="8">
        <f t="shared" si="84"/>
        <v>97077.441000000006</v>
      </c>
      <c r="AM77" s="7">
        <f t="shared" si="58"/>
        <v>90.306056296984607</v>
      </c>
      <c r="AN77" s="33">
        <f>SUM('[9]419'!$N$1800)</f>
        <v>107498.262</v>
      </c>
      <c r="AO77" s="9">
        <f t="shared" si="141"/>
        <v>100</v>
      </c>
      <c r="AP77" s="6"/>
      <c r="AQ77" s="7">
        <f t="shared" si="142"/>
        <v>0</v>
      </c>
      <c r="AR77" s="8"/>
      <c r="AS77" s="7">
        <f t="shared" si="143"/>
        <v>0</v>
      </c>
      <c r="AT77" s="8"/>
      <c r="AU77" s="7">
        <f t="shared" si="144"/>
        <v>0</v>
      </c>
      <c r="AV77" s="8"/>
      <c r="AW77" s="9">
        <f t="shared" si="145"/>
        <v>0</v>
      </c>
      <c r="AX77" s="6"/>
      <c r="AY77" s="7">
        <f t="shared" si="146"/>
        <v>0</v>
      </c>
      <c r="AZ77" s="8"/>
      <c r="BA77" s="7">
        <f t="shared" si="147"/>
        <v>0</v>
      </c>
      <c r="BB77" s="8"/>
      <c r="BC77" s="7">
        <f t="shared" si="148"/>
        <v>0</v>
      </c>
      <c r="BD77" s="8"/>
      <c r="BE77" s="9">
        <f t="shared" si="149"/>
        <v>0</v>
      </c>
      <c r="BF77" s="31">
        <f>SUM('[9]419'!$D$432)</f>
        <v>795000</v>
      </c>
      <c r="BG77" s="8">
        <f t="shared" si="127"/>
        <v>258330.30099999998</v>
      </c>
      <c r="BH77" s="10">
        <f t="shared" si="150"/>
        <v>1.8202978777201171E-3</v>
      </c>
      <c r="BI77" s="6">
        <f>SUM([8]naz!$H$320)</f>
        <v>0</v>
      </c>
      <c r="BJ77" s="8">
        <f t="shared" si="118"/>
        <v>258330.30099999998</v>
      </c>
      <c r="BK77" s="8">
        <f t="shared" si="128"/>
        <v>70753.635999999999</v>
      </c>
      <c r="BL77" s="7">
        <f t="shared" si="151"/>
        <v>27.38882574986819</v>
      </c>
      <c r="BM77" s="8">
        <f t="shared" si="129"/>
        <v>187576.66499999998</v>
      </c>
      <c r="BN77" s="7">
        <f t="shared" si="95"/>
        <v>72.61117425013181</v>
      </c>
      <c r="BO77" s="11">
        <f t="shared" si="130"/>
        <v>258330.30099999998</v>
      </c>
      <c r="BP77" s="9">
        <f t="shared" si="119"/>
        <v>100</v>
      </c>
    </row>
    <row r="78" spans="1:68" x14ac:dyDescent="0.2">
      <c r="A78" s="81" t="s">
        <v>371</v>
      </c>
      <c r="B78" s="31">
        <f>SUM('[9]415'!$F$434)</f>
        <v>281958.011</v>
      </c>
      <c r="C78" s="7">
        <f t="shared" si="131"/>
        <v>8.3161003843071745E-3</v>
      </c>
      <c r="D78" s="33">
        <f>SUM('[9]415'!$J$434)</f>
        <v>254710.652</v>
      </c>
      <c r="E78" s="7">
        <f t="shared" si="132"/>
        <v>90.33637707140727</v>
      </c>
      <c r="F78" s="8">
        <f t="shared" si="117"/>
        <v>27247.358999999997</v>
      </c>
      <c r="G78" s="7">
        <f t="shared" si="133"/>
        <v>9.6636229285927246</v>
      </c>
      <c r="H78" s="33">
        <f>SUM('[9]415'!$N$434)</f>
        <v>281958.011</v>
      </c>
      <c r="I78" s="9">
        <f t="shared" si="134"/>
        <v>100</v>
      </c>
      <c r="J78" s="31">
        <f>SUM('[9]415'!$F$885)</f>
        <v>1112041.9890000001</v>
      </c>
      <c r="K78" s="7">
        <f t="shared" si="135"/>
        <v>2.1134976523086723E-2</v>
      </c>
      <c r="L78" s="33">
        <f>SUM('[9]415'!$J$885)</f>
        <v>0</v>
      </c>
      <c r="M78" s="7">
        <f t="shared" si="46"/>
        <v>0</v>
      </c>
      <c r="N78" s="8">
        <f t="shared" si="76"/>
        <v>0</v>
      </c>
      <c r="O78" s="7">
        <f t="shared" si="48"/>
        <v>0</v>
      </c>
      <c r="P78" s="33">
        <f>SUM('[9]415'!$N$885)</f>
        <v>0</v>
      </c>
      <c r="Q78" s="269"/>
      <c r="R78" s="6">
        <f t="shared" si="120"/>
        <v>1394000</v>
      </c>
      <c r="S78" s="7">
        <f t="shared" si="98"/>
        <v>1.6111645566551001E-2</v>
      </c>
      <c r="T78" s="6">
        <f t="shared" si="121"/>
        <v>254710.652</v>
      </c>
      <c r="U78" s="7">
        <f t="shared" si="122"/>
        <v>18.271926255380201</v>
      </c>
      <c r="V78" s="8">
        <f t="shared" si="123"/>
        <v>27247.358999999997</v>
      </c>
      <c r="W78" s="7">
        <f t="shared" si="124"/>
        <v>1.954616857962697</v>
      </c>
      <c r="X78" s="6">
        <f t="shared" si="125"/>
        <v>281958.011</v>
      </c>
      <c r="Y78" s="9">
        <f t="shared" si="126"/>
        <v>20.226543113342899</v>
      </c>
      <c r="Z78" s="6"/>
      <c r="AA78" s="7">
        <f t="shared" si="136"/>
        <v>0</v>
      </c>
      <c r="AB78" s="8"/>
      <c r="AC78" s="7">
        <f t="shared" si="137"/>
        <v>0</v>
      </c>
      <c r="AD78" s="8"/>
      <c r="AE78" s="7">
        <f t="shared" si="138"/>
        <v>0</v>
      </c>
      <c r="AF78" s="8"/>
      <c r="AG78" s="9">
        <f t="shared" si="139"/>
        <v>0</v>
      </c>
      <c r="AH78" s="31">
        <f>SUM('[9]415'!$F$1800)</f>
        <v>5153.9599999999991</v>
      </c>
      <c r="AI78" s="7">
        <f t="shared" si="140"/>
        <v>6.5324818721606268E-4</v>
      </c>
      <c r="AJ78" s="33">
        <f>SUM('[9]415'!$J$1800)</f>
        <v>5153.96</v>
      </c>
      <c r="AK78" s="7">
        <f t="shared" si="56"/>
        <v>100.00000000000003</v>
      </c>
      <c r="AL78" s="8">
        <f t="shared" si="84"/>
        <v>0</v>
      </c>
      <c r="AM78" s="7">
        <f t="shared" si="58"/>
        <v>0</v>
      </c>
      <c r="AN78" s="33">
        <f>SUM('[9]415'!$N$1800)</f>
        <v>5153.96</v>
      </c>
      <c r="AO78" s="9">
        <f t="shared" si="141"/>
        <v>100.00000000000003</v>
      </c>
      <c r="AP78" s="6"/>
      <c r="AQ78" s="7">
        <f t="shared" si="142"/>
        <v>0</v>
      </c>
      <c r="AR78" s="8"/>
      <c r="AS78" s="7">
        <f t="shared" si="143"/>
        <v>0</v>
      </c>
      <c r="AT78" s="8"/>
      <c r="AU78" s="7">
        <f t="shared" si="144"/>
        <v>0</v>
      </c>
      <c r="AV78" s="8"/>
      <c r="AW78" s="9">
        <f t="shared" si="145"/>
        <v>0</v>
      </c>
      <c r="AX78" s="6"/>
      <c r="AY78" s="7">
        <f t="shared" si="146"/>
        <v>0</v>
      </c>
      <c r="AZ78" s="8"/>
      <c r="BA78" s="7">
        <f t="shared" si="147"/>
        <v>0</v>
      </c>
      <c r="BB78" s="8"/>
      <c r="BC78" s="7">
        <f t="shared" si="148"/>
        <v>0</v>
      </c>
      <c r="BD78" s="8"/>
      <c r="BE78" s="9">
        <f t="shared" si="149"/>
        <v>0</v>
      </c>
      <c r="BF78" s="31">
        <f>SUM('[9]415'!$D$432)</f>
        <v>52000</v>
      </c>
      <c r="BG78" s="8">
        <f t="shared" si="127"/>
        <v>287111.97100000002</v>
      </c>
      <c r="BH78" s="10">
        <f t="shared" si="150"/>
        <v>2.0231049530629389E-3</v>
      </c>
      <c r="BI78" s="6">
        <f>SUM([8]pab!$H$320)</f>
        <v>0</v>
      </c>
      <c r="BJ78" s="8">
        <f t="shared" si="118"/>
        <v>287111.97100000002</v>
      </c>
      <c r="BK78" s="8">
        <f t="shared" si="128"/>
        <v>259864.61199999999</v>
      </c>
      <c r="BL78" s="7">
        <f t="shared" si="151"/>
        <v>90.509849204441565</v>
      </c>
      <c r="BM78" s="8">
        <f t="shared" si="129"/>
        <v>27247.358999999997</v>
      </c>
      <c r="BN78" s="7">
        <f t="shared" si="95"/>
        <v>9.4901507955584314</v>
      </c>
      <c r="BO78" s="11">
        <f t="shared" si="130"/>
        <v>287111.97100000002</v>
      </c>
      <c r="BP78" s="9">
        <f t="shared" si="119"/>
        <v>100</v>
      </c>
    </row>
    <row r="79" spans="1:68" x14ac:dyDescent="0.2">
      <c r="A79" s="81" t="s">
        <v>375</v>
      </c>
      <c r="B79" s="31">
        <f>SUM('[9]420'!$F$434)</f>
        <v>1041704.088</v>
      </c>
      <c r="C79" s="7">
        <f t="shared" si="131"/>
        <v>3.0724134192275723E-2</v>
      </c>
      <c r="D79" s="33">
        <f>SUM('[9]420'!$J$434)</f>
        <v>1008284.4340000001</v>
      </c>
      <c r="E79" s="7">
        <f t="shared" si="132"/>
        <v>96.791828467894064</v>
      </c>
      <c r="F79" s="8">
        <f t="shared" si="117"/>
        <v>33419.653999999864</v>
      </c>
      <c r="G79" s="7">
        <f t="shared" si="133"/>
        <v>3.2081715321059452</v>
      </c>
      <c r="H79" s="33">
        <f>SUM('[9]420'!$N$434)</f>
        <v>1041704.088</v>
      </c>
      <c r="I79" s="9">
        <f t="shared" si="134"/>
        <v>100</v>
      </c>
      <c r="J79" s="31">
        <f>SUM('[9]420'!$F$885)</f>
        <v>2358295.912</v>
      </c>
      <c r="K79" s="7">
        <f t="shared" si="135"/>
        <v>4.4820725501050651E-2</v>
      </c>
      <c r="L79" s="33">
        <f>SUM('[9]420'!$J$885)</f>
        <v>129403.281</v>
      </c>
      <c r="M79" s="7">
        <f t="shared" si="46"/>
        <v>5.4871519872269534</v>
      </c>
      <c r="N79" s="8">
        <f t="shared" si="76"/>
        <v>33844.968000000008</v>
      </c>
      <c r="O79" s="7">
        <f t="shared" si="48"/>
        <v>1.435145090477518</v>
      </c>
      <c r="P79" s="33">
        <f>SUM('[9]420'!$N$885)</f>
        <v>163248.24900000001</v>
      </c>
      <c r="Q79" s="269"/>
      <c r="R79" s="6">
        <f t="shared" si="120"/>
        <v>3400000</v>
      </c>
      <c r="S79" s="7">
        <f t="shared" si="98"/>
        <v>3.9296696503782931E-2</v>
      </c>
      <c r="T79" s="6">
        <f t="shared" si="121"/>
        <v>1137687.7150000001</v>
      </c>
      <c r="U79" s="7">
        <f t="shared" si="122"/>
        <v>33.461403382352941</v>
      </c>
      <c r="V79" s="8">
        <f t="shared" si="123"/>
        <v>67264.621999999974</v>
      </c>
      <c r="W79" s="7">
        <f t="shared" si="124"/>
        <v>1.9783712352941167</v>
      </c>
      <c r="X79" s="6">
        <f t="shared" si="125"/>
        <v>1204952.3370000001</v>
      </c>
      <c r="Y79" s="9">
        <f t="shared" si="126"/>
        <v>35.43977461764706</v>
      </c>
      <c r="Z79" s="6"/>
      <c r="AA79" s="7">
        <f t="shared" si="136"/>
        <v>0</v>
      </c>
      <c r="AB79" s="8"/>
      <c r="AC79" s="7">
        <f t="shared" si="137"/>
        <v>0</v>
      </c>
      <c r="AD79" s="8"/>
      <c r="AE79" s="7">
        <f t="shared" si="138"/>
        <v>0</v>
      </c>
      <c r="AF79" s="8"/>
      <c r="AG79" s="9">
        <f t="shared" si="139"/>
        <v>0</v>
      </c>
      <c r="AH79" s="31">
        <f>SUM('[9]420'!$F$1800)</f>
        <v>263031.88500000001</v>
      </c>
      <c r="AI79" s="7">
        <f t="shared" si="140"/>
        <v>3.3338462474732808E-2</v>
      </c>
      <c r="AJ79" s="33">
        <f>SUM('[9]420'!$J$1800)</f>
        <v>242095.81700000001</v>
      </c>
      <c r="AK79" s="7">
        <f t="shared" si="56"/>
        <v>92.040482848685812</v>
      </c>
      <c r="AL79" s="8">
        <f t="shared" si="84"/>
        <v>20936.067999999999</v>
      </c>
      <c r="AM79" s="7">
        <f t="shared" si="58"/>
        <v>7.9595171513141825</v>
      </c>
      <c r="AN79" s="33">
        <f>SUM('[9]420'!$N$1800)</f>
        <v>263031.88500000001</v>
      </c>
      <c r="AO79" s="9">
        <f t="shared" si="141"/>
        <v>100</v>
      </c>
      <c r="AP79" s="6"/>
      <c r="AQ79" s="7">
        <f t="shared" si="142"/>
        <v>0</v>
      </c>
      <c r="AR79" s="8"/>
      <c r="AS79" s="7">
        <f t="shared" si="143"/>
        <v>0</v>
      </c>
      <c r="AT79" s="8"/>
      <c r="AU79" s="7">
        <f t="shared" si="144"/>
        <v>0</v>
      </c>
      <c r="AV79" s="8"/>
      <c r="AW79" s="9">
        <f t="shared" si="145"/>
        <v>0</v>
      </c>
      <c r="AX79" s="6"/>
      <c r="AY79" s="7">
        <f t="shared" si="146"/>
        <v>0</v>
      </c>
      <c r="AZ79" s="8"/>
      <c r="BA79" s="7">
        <f t="shared" si="147"/>
        <v>0</v>
      </c>
      <c r="BB79" s="8"/>
      <c r="BC79" s="7">
        <f t="shared" si="148"/>
        <v>0</v>
      </c>
      <c r="BD79" s="8"/>
      <c r="BE79" s="9">
        <f t="shared" si="149"/>
        <v>0</v>
      </c>
      <c r="BF79" s="31">
        <f>SUM('[9]408'!$D$432)</f>
        <v>34574000</v>
      </c>
      <c r="BG79" s="8">
        <f t="shared" si="127"/>
        <v>1304735.973</v>
      </c>
      <c r="BH79" s="10">
        <f t="shared" si="150"/>
        <v>9.1936877456624492E-3</v>
      </c>
      <c r="BI79" s="6">
        <f>SUM([8]cri!$H$320)</f>
        <v>0</v>
      </c>
      <c r="BJ79" s="8">
        <f t="shared" si="118"/>
        <v>1304735.973</v>
      </c>
      <c r="BK79" s="8">
        <f t="shared" si="128"/>
        <v>1250380.2510000002</v>
      </c>
      <c r="BL79" s="7">
        <f t="shared" si="151"/>
        <v>95.833967704974143</v>
      </c>
      <c r="BM79" s="8">
        <f t="shared" si="129"/>
        <v>54355.721999999863</v>
      </c>
      <c r="BN79" s="7">
        <f t="shared" si="95"/>
        <v>4.1660322950258584</v>
      </c>
      <c r="BO79" s="11">
        <f t="shared" si="130"/>
        <v>1304735.973</v>
      </c>
      <c r="BP79" s="9">
        <f t="shared" si="119"/>
        <v>100</v>
      </c>
    </row>
    <row r="80" spans="1:68" x14ac:dyDescent="0.2">
      <c r="A80" s="81" t="s">
        <v>372</v>
      </c>
      <c r="B80" s="31">
        <f>SUM('[9]422'!$F$434)</f>
        <v>74872.849999999977</v>
      </c>
      <c r="C80" s="7">
        <f t="shared" si="131"/>
        <v>2.2083080188105499E-3</v>
      </c>
      <c r="D80" s="33">
        <f>SUM('[9]422'!$J$434)</f>
        <v>74872.850000000006</v>
      </c>
      <c r="E80" s="7">
        <f t="shared" si="132"/>
        <v>100.00000000000004</v>
      </c>
      <c r="F80" s="8">
        <f t="shared" si="117"/>
        <v>0</v>
      </c>
      <c r="G80" s="7">
        <f t="shared" si="133"/>
        <v>0</v>
      </c>
      <c r="H80" s="33">
        <f>SUM('[9]422'!$N$434)</f>
        <v>74872.850000000006</v>
      </c>
      <c r="I80" s="9">
        <f t="shared" si="134"/>
        <v>100.00000000000004</v>
      </c>
      <c r="J80" s="31">
        <f>SUM('[9]422'!$F$885)</f>
        <v>865127.15</v>
      </c>
      <c r="K80" s="7">
        <f t="shared" si="135"/>
        <v>1.6442222672884095E-2</v>
      </c>
      <c r="L80" s="33">
        <f>SUM('[9]422'!$J$885)</f>
        <v>0</v>
      </c>
      <c r="M80" s="7">
        <f t="shared" si="46"/>
        <v>0</v>
      </c>
      <c r="N80" s="8">
        <f t="shared" si="76"/>
        <v>0</v>
      </c>
      <c r="O80" s="7">
        <f t="shared" si="48"/>
        <v>0</v>
      </c>
      <c r="P80" s="33">
        <f>SUM('[9]422'!$N$885)</f>
        <v>0</v>
      </c>
      <c r="Q80" s="269"/>
      <c r="R80" s="6">
        <f t="shared" si="120"/>
        <v>940000</v>
      </c>
      <c r="S80" s="7">
        <f t="shared" si="98"/>
        <v>1.0864380798104692E-2</v>
      </c>
      <c r="T80" s="6">
        <f t="shared" si="121"/>
        <v>74872.850000000006</v>
      </c>
      <c r="U80" s="7">
        <f t="shared" si="122"/>
        <v>7.9651968085106386</v>
      </c>
      <c r="V80" s="8">
        <f t="shared" si="123"/>
        <v>0</v>
      </c>
      <c r="W80" s="7">
        <f t="shared" si="124"/>
        <v>0</v>
      </c>
      <c r="X80" s="6">
        <f t="shared" si="125"/>
        <v>74872.850000000006</v>
      </c>
      <c r="Y80" s="9">
        <f t="shared" si="126"/>
        <v>7.9651968085106386</v>
      </c>
      <c r="Z80" s="6"/>
      <c r="AA80" s="7">
        <f t="shared" si="136"/>
        <v>0</v>
      </c>
      <c r="AB80" s="8"/>
      <c r="AC80" s="7">
        <f t="shared" si="137"/>
        <v>0</v>
      </c>
      <c r="AD80" s="8"/>
      <c r="AE80" s="7">
        <f t="shared" si="138"/>
        <v>0</v>
      </c>
      <c r="AF80" s="8"/>
      <c r="AG80" s="9">
        <f t="shared" si="139"/>
        <v>0</v>
      </c>
      <c r="AH80" s="31">
        <f>SUM('[9]422'!$F$1800)</f>
        <v>612911.54200000002</v>
      </c>
      <c r="AI80" s="7">
        <f t="shared" si="140"/>
        <v>7.7684606348380994E-2</v>
      </c>
      <c r="AJ80" s="33">
        <f>SUM('[9]422'!$J$1800)</f>
        <v>338443.935</v>
      </c>
      <c r="AK80" s="7">
        <f t="shared" si="56"/>
        <v>55.219050679910339</v>
      </c>
      <c r="AL80" s="8">
        <f t="shared" si="84"/>
        <v>274467.60700000002</v>
      </c>
      <c r="AM80" s="7">
        <f t="shared" si="58"/>
        <v>44.780949320089654</v>
      </c>
      <c r="AN80" s="33">
        <f>SUM('[9]422'!$N$1800)</f>
        <v>612911.54200000002</v>
      </c>
      <c r="AO80" s="9">
        <f t="shared" si="141"/>
        <v>100</v>
      </c>
      <c r="AP80" s="6"/>
      <c r="AQ80" s="7">
        <f t="shared" si="142"/>
        <v>0</v>
      </c>
      <c r="AR80" s="8"/>
      <c r="AS80" s="7">
        <f t="shared" si="143"/>
        <v>0</v>
      </c>
      <c r="AT80" s="8"/>
      <c r="AU80" s="7">
        <f t="shared" si="144"/>
        <v>0</v>
      </c>
      <c r="AV80" s="8"/>
      <c r="AW80" s="9">
        <f t="shared" si="145"/>
        <v>0</v>
      </c>
      <c r="AX80" s="6"/>
      <c r="AY80" s="7">
        <f t="shared" si="146"/>
        <v>0</v>
      </c>
      <c r="AZ80" s="8"/>
      <c r="BA80" s="7">
        <f t="shared" si="147"/>
        <v>0</v>
      </c>
      <c r="BB80" s="8"/>
      <c r="BC80" s="7">
        <f t="shared" si="148"/>
        <v>0</v>
      </c>
      <c r="BD80" s="8"/>
      <c r="BE80" s="9">
        <f t="shared" si="149"/>
        <v>0</v>
      </c>
      <c r="BF80" s="31">
        <f>SUM('[9]422'!$D$432)</f>
        <v>1228000</v>
      </c>
      <c r="BG80" s="8">
        <f t="shared" si="127"/>
        <v>687784.39199999999</v>
      </c>
      <c r="BH80" s="10">
        <f t="shared" si="150"/>
        <v>4.8464019290041438E-3</v>
      </c>
      <c r="BI80" s="6">
        <f>SUM([8]raf!$H$320)</f>
        <v>0</v>
      </c>
      <c r="BJ80" s="8">
        <f t="shared" si="118"/>
        <v>687784.39199999999</v>
      </c>
      <c r="BK80" s="8">
        <f t="shared" si="128"/>
        <v>413316.78500000003</v>
      </c>
      <c r="BL80" s="7">
        <f t="shared" si="151"/>
        <v>60.093946563416644</v>
      </c>
      <c r="BM80" s="8">
        <f t="shared" si="129"/>
        <v>274467.60700000002</v>
      </c>
      <c r="BN80" s="7">
        <f t="shared" si="95"/>
        <v>39.906053436583363</v>
      </c>
      <c r="BO80" s="11">
        <f t="shared" si="130"/>
        <v>687784.39199999999</v>
      </c>
      <c r="BP80" s="9">
        <f t="shared" si="119"/>
        <v>100</v>
      </c>
    </row>
    <row r="81" spans="1:68" x14ac:dyDescent="0.2">
      <c r="A81" s="81" t="s">
        <v>373</v>
      </c>
      <c r="B81" s="31">
        <f>SUM('[9]421'!$F$434)</f>
        <v>717000</v>
      </c>
      <c r="C81" s="7">
        <f t="shared" si="131"/>
        <v>2.1147276342321213E-2</v>
      </c>
      <c r="D81" s="33">
        <f>SUM('[9]421'!$J$434)</f>
        <v>11880.28</v>
      </c>
      <c r="E81" s="7">
        <f t="shared" si="132"/>
        <v>1.6569428172942817</v>
      </c>
      <c r="F81" s="8">
        <f t="shared" si="117"/>
        <v>0</v>
      </c>
      <c r="G81" s="7">
        <f t="shared" si="133"/>
        <v>0</v>
      </c>
      <c r="H81" s="33">
        <f>SUM('[9]421'!$N$434)</f>
        <v>11880.28</v>
      </c>
      <c r="I81" s="9">
        <f t="shared" si="134"/>
        <v>1.6569428172942817</v>
      </c>
      <c r="J81" s="31">
        <f>SUM('[9]421'!$F$885)</f>
        <v>705119.72</v>
      </c>
      <c r="K81" s="7">
        <f t="shared" si="135"/>
        <v>1.3401192468970237E-2</v>
      </c>
      <c r="L81" s="33">
        <f>SUM('[9]421'!$J$885)</f>
        <v>0</v>
      </c>
      <c r="M81" s="7">
        <f t="shared" si="46"/>
        <v>0</v>
      </c>
      <c r="N81" s="8">
        <f t="shared" si="76"/>
        <v>657.37199999999996</v>
      </c>
      <c r="O81" s="7">
        <f t="shared" si="48"/>
        <v>9.3228423678180489E-2</v>
      </c>
      <c r="P81" s="33">
        <f>SUM('[9]421'!$N$885)</f>
        <v>657.37199999999996</v>
      </c>
      <c r="Q81" s="269"/>
      <c r="R81" s="6">
        <f t="shared" si="120"/>
        <v>1422119.72</v>
      </c>
      <c r="S81" s="7">
        <f t="shared" si="98"/>
        <v>1.6436649126142573E-2</v>
      </c>
      <c r="T81" s="6">
        <f t="shared" si="121"/>
        <v>11880.28</v>
      </c>
      <c r="U81" s="7">
        <f t="shared" si="122"/>
        <v>0.83539239579632585</v>
      </c>
      <c r="V81" s="8">
        <f t="shared" si="123"/>
        <v>657.37199999999939</v>
      </c>
      <c r="W81" s="7">
        <f t="shared" si="124"/>
        <v>4.6224800258026055E-2</v>
      </c>
      <c r="X81" s="6">
        <f t="shared" si="125"/>
        <v>12537.652</v>
      </c>
      <c r="Y81" s="9">
        <f t="shared" si="126"/>
        <v>0.88161719605435196</v>
      </c>
      <c r="Z81" s="6"/>
      <c r="AA81" s="7">
        <f t="shared" si="136"/>
        <v>0</v>
      </c>
      <c r="AB81" s="8"/>
      <c r="AC81" s="7">
        <f t="shared" si="137"/>
        <v>0</v>
      </c>
      <c r="AD81" s="8"/>
      <c r="AE81" s="7">
        <f t="shared" si="138"/>
        <v>0</v>
      </c>
      <c r="AF81" s="8"/>
      <c r="AG81" s="9">
        <f t="shared" si="139"/>
        <v>0</v>
      </c>
      <c r="AH81" s="31">
        <f>SUM('[9]421'!$F$1800)</f>
        <v>772663.83400000003</v>
      </c>
      <c r="AI81" s="7">
        <f t="shared" si="140"/>
        <v>9.7932705897584169E-2</v>
      </c>
      <c r="AJ81" s="33">
        <f>SUM('[9]421'!$J$1800)</f>
        <v>62770.080999999998</v>
      </c>
      <c r="AK81" s="7">
        <f t="shared" si="56"/>
        <v>8.1238538984082957</v>
      </c>
      <c r="AL81" s="8">
        <f t="shared" si="84"/>
        <v>708943.74600000004</v>
      </c>
      <c r="AM81" s="7">
        <f t="shared" si="58"/>
        <v>91.753193925212244</v>
      </c>
      <c r="AN81" s="33">
        <f>SUM('[9]421'!$N$1800)</f>
        <v>771713.82700000005</v>
      </c>
      <c r="AO81" s="9">
        <f t="shared" si="141"/>
        <v>99.877047823620529</v>
      </c>
      <c r="AP81" s="6"/>
      <c r="AQ81" s="7">
        <f t="shared" si="142"/>
        <v>0</v>
      </c>
      <c r="AR81" s="8"/>
      <c r="AS81" s="7">
        <f t="shared" si="143"/>
        <v>0</v>
      </c>
      <c r="AT81" s="8"/>
      <c r="AU81" s="7">
        <f t="shared" si="144"/>
        <v>0</v>
      </c>
      <c r="AV81" s="8"/>
      <c r="AW81" s="9">
        <f t="shared" si="145"/>
        <v>0</v>
      </c>
      <c r="AX81" s="6"/>
      <c r="AY81" s="7">
        <f t="shared" si="146"/>
        <v>0</v>
      </c>
      <c r="AZ81" s="8"/>
      <c r="BA81" s="7">
        <f t="shared" si="147"/>
        <v>0</v>
      </c>
      <c r="BB81" s="8"/>
      <c r="BC81" s="7">
        <f t="shared" si="148"/>
        <v>0</v>
      </c>
      <c r="BD81" s="8"/>
      <c r="BE81" s="9">
        <f t="shared" si="149"/>
        <v>0</v>
      </c>
      <c r="BF81" s="31">
        <f>SUM('[9]421'!$D$432)</f>
        <v>0</v>
      </c>
      <c r="BG81" s="8">
        <f t="shared" si="127"/>
        <v>1489663.834</v>
      </c>
      <c r="BH81" s="10">
        <f t="shared" si="150"/>
        <v>1.0496762884763616E-2</v>
      </c>
      <c r="BI81" s="6">
        <f>SUM([8]vis!$H$320)</f>
        <v>0</v>
      </c>
      <c r="BJ81" s="8">
        <f t="shared" si="118"/>
        <v>1489663.834</v>
      </c>
      <c r="BK81" s="8">
        <f t="shared" si="128"/>
        <v>74650.361000000004</v>
      </c>
      <c r="BL81" s="7">
        <f t="shared" si="151"/>
        <v>5.0112219479445326</v>
      </c>
      <c r="BM81" s="8">
        <f t="shared" si="129"/>
        <v>708943.74600000004</v>
      </c>
      <c r="BN81" s="7">
        <f t="shared" si="95"/>
        <v>47.590854380640089</v>
      </c>
      <c r="BO81" s="11">
        <f t="shared" si="130"/>
        <v>783594.10700000008</v>
      </c>
      <c r="BP81" s="9">
        <f t="shared" si="119"/>
        <v>52.602076328584616</v>
      </c>
    </row>
    <row r="82" spans="1:68" s="24" customFormat="1" x14ac:dyDescent="0.2">
      <c r="A82" s="81" t="s">
        <v>374</v>
      </c>
      <c r="B82" s="31">
        <f>SUM('[9]423'!$F$434)</f>
        <v>0</v>
      </c>
      <c r="C82" s="20">
        <f t="shared" si="131"/>
        <v>0</v>
      </c>
      <c r="D82" s="33">
        <f>SUM('[9]423'!$J$434)</f>
        <v>0</v>
      </c>
      <c r="E82" s="20">
        <f t="shared" si="132"/>
        <v>0</v>
      </c>
      <c r="F82" s="8">
        <f t="shared" si="117"/>
        <v>0</v>
      </c>
      <c r="G82" s="7">
        <f t="shared" si="133"/>
        <v>0</v>
      </c>
      <c r="H82" s="33">
        <f>SUM('[9]423'!$N$434)</f>
        <v>0</v>
      </c>
      <c r="I82" s="22">
        <f t="shared" si="134"/>
        <v>0</v>
      </c>
      <c r="J82" s="31">
        <f>SUM('[9]423'!$F$885)</f>
        <v>106430</v>
      </c>
      <c r="K82" s="20">
        <f t="shared" si="135"/>
        <v>2.0227613467859078E-3</v>
      </c>
      <c r="L82" s="33">
        <f>SUM('[9]423'!$J$885)</f>
        <v>0</v>
      </c>
      <c r="M82" s="20">
        <f t="shared" si="46"/>
        <v>0</v>
      </c>
      <c r="N82" s="8">
        <f t="shared" si="76"/>
        <v>0</v>
      </c>
      <c r="O82" s="7">
        <f t="shared" si="48"/>
        <v>0</v>
      </c>
      <c r="P82" s="33">
        <f>SUM('[9]423'!$N$885)</f>
        <v>0</v>
      </c>
      <c r="Q82" s="270"/>
      <c r="R82" s="6">
        <f t="shared" si="120"/>
        <v>106430</v>
      </c>
      <c r="S82" s="7">
        <f t="shared" si="98"/>
        <v>1.2301021790875344E-3</v>
      </c>
      <c r="T82" s="6">
        <f t="shared" si="121"/>
        <v>0</v>
      </c>
      <c r="U82" s="7">
        <f t="shared" si="122"/>
        <v>0</v>
      </c>
      <c r="V82" s="8">
        <f t="shared" si="123"/>
        <v>0</v>
      </c>
      <c r="W82" s="7">
        <f t="shared" si="124"/>
        <v>0</v>
      </c>
      <c r="X82" s="6">
        <f t="shared" si="125"/>
        <v>0</v>
      </c>
      <c r="Y82" s="9">
        <f t="shared" si="126"/>
        <v>0</v>
      </c>
      <c r="Z82" s="19"/>
      <c r="AA82" s="20">
        <f t="shared" si="136"/>
        <v>0</v>
      </c>
      <c r="AB82" s="21"/>
      <c r="AC82" s="20">
        <f t="shared" si="137"/>
        <v>0</v>
      </c>
      <c r="AD82" s="8"/>
      <c r="AE82" s="7">
        <f t="shared" si="138"/>
        <v>0</v>
      </c>
      <c r="AF82" s="21"/>
      <c r="AG82" s="22">
        <f t="shared" si="139"/>
        <v>0</v>
      </c>
      <c r="AH82" s="31">
        <f>SUM('[9]423'!$F$1800)</f>
        <v>647586.24800000002</v>
      </c>
      <c r="AI82" s="20">
        <f t="shared" si="140"/>
        <v>8.2079516056013574E-2</v>
      </c>
      <c r="AJ82" s="33">
        <f>SUM('[9]423'!$J$1800)</f>
        <v>471890.87199999997</v>
      </c>
      <c r="AK82" s="20">
        <f t="shared" si="56"/>
        <v>72.869192861550687</v>
      </c>
      <c r="AL82" s="8">
        <f t="shared" si="84"/>
        <v>175695.37600000005</v>
      </c>
      <c r="AM82" s="7">
        <f t="shared" si="58"/>
        <v>27.13080713844931</v>
      </c>
      <c r="AN82" s="33">
        <f>SUM('[9]423'!$N$1800)</f>
        <v>647586.24800000002</v>
      </c>
      <c r="AO82" s="22">
        <f t="shared" si="141"/>
        <v>100</v>
      </c>
      <c r="AP82" s="19"/>
      <c r="AQ82" s="20">
        <f t="shared" si="142"/>
        <v>0</v>
      </c>
      <c r="AR82" s="21"/>
      <c r="AS82" s="20">
        <f t="shared" si="143"/>
        <v>0</v>
      </c>
      <c r="AT82" s="8"/>
      <c r="AU82" s="7">
        <f t="shared" si="144"/>
        <v>0</v>
      </c>
      <c r="AV82" s="21"/>
      <c r="AW82" s="22">
        <f t="shared" si="145"/>
        <v>0</v>
      </c>
      <c r="AX82" s="19"/>
      <c r="AY82" s="20">
        <f t="shared" si="146"/>
        <v>0</v>
      </c>
      <c r="AZ82" s="21"/>
      <c r="BA82" s="20">
        <f t="shared" si="147"/>
        <v>0</v>
      </c>
      <c r="BB82" s="8"/>
      <c r="BC82" s="7">
        <f t="shared" si="148"/>
        <v>0</v>
      </c>
      <c r="BD82" s="21"/>
      <c r="BE82" s="22">
        <f t="shared" si="149"/>
        <v>0</v>
      </c>
      <c r="BF82" s="31">
        <f>SUM('[9]423'!$D$432)</f>
        <v>349000</v>
      </c>
      <c r="BG82" s="8">
        <f t="shared" si="127"/>
        <v>647586.24800000002</v>
      </c>
      <c r="BH82" s="23">
        <f t="shared" si="150"/>
        <v>4.5631498446445642E-3</v>
      </c>
      <c r="BI82" s="19">
        <f>SUM(BI60:BI81)</f>
        <v>0</v>
      </c>
      <c r="BJ82" s="8">
        <f t="shared" si="118"/>
        <v>647586.24800000002</v>
      </c>
      <c r="BK82" s="8">
        <f t="shared" si="128"/>
        <v>471890.87199999997</v>
      </c>
      <c r="BL82" s="7">
        <f t="shared" si="151"/>
        <v>72.869192861550687</v>
      </c>
      <c r="BM82" s="21">
        <f t="shared" si="129"/>
        <v>175695.37600000005</v>
      </c>
      <c r="BN82" s="7">
        <f t="shared" si="95"/>
        <v>27.13080713844931</v>
      </c>
      <c r="BO82" s="37">
        <f t="shared" si="130"/>
        <v>647586.24800000002</v>
      </c>
      <c r="BP82" s="9">
        <f t="shared" si="119"/>
        <v>100</v>
      </c>
    </row>
    <row r="83" spans="1:68" s="17" customFormat="1" ht="16.5" thickBot="1" x14ac:dyDescent="0.3">
      <c r="A83" s="260" t="s">
        <v>100</v>
      </c>
      <c r="B83" s="38">
        <f>SUM(B61:B82)</f>
        <v>4630016.2729999973</v>
      </c>
      <c r="C83" s="39">
        <f t="shared" si="131"/>
        <v>0.13655820585017445</v>
      </c>
      <c r="D83" s="40">
        <f>SUM(D61:D82)</f>
        <v>2847647.048</v>
      </c>
      <c r="E83" s="39">
        <f t="shared" si="132"/>
        <v>61.504039728890206</v>
      </c>
      <c r="F83" s="40">
        <f>SUM(F61:F82)</f>
        <v>947249.50499999966</v>
      </c>
      <c r="G83" s="39">
        <f t="shared" si="133"/>
        <v>20.458880685234263</v>
      </c>
      <c r="H83" s="40">
        <f>SUM(H61:H82)</f>
        <v>3794896.5529999998</v>
      </c>
      <c r="I83" s="41">
        <f t="shared" si="134"/>
        <v>81.962920414124468</v>
      </c>
      <c r="J83" s="38">
        <f>SUM(J61:J82)</f>
        <v>82766317.284999996</v>
      </c>
      <c r="K83" s="39">
        <f>IF(OR(J83=0,J$84=0),0,J83/J$84)*100</f>
        <v>1.5730198949536442</v>
      </c>
      <c r="L83" s="40">
        <f>SUM(L61:L82)</f>
        <v>129403.281</v>
      </c>
      <c r="M83" s="39">
        <f>IF(OR(L83=0,J83=0),0,L83/J83)*100</f>
        <v>0.15634775745114876</v>
      </c>
      <c r="N83" s="40">
        <f>SUM(N61:N82)</f>
        <v>34502.340000000011</v>
      </c>
      <c r="O83" s="39">
        <f>IF(OR(N83=0,J83=0),0,N83/J83)*100</f>
        <v>4.1686450638118433E-2</v>
      </c>
      <c r="P83" s="40">
        <f>SUM(P61:P82)</f>
        <v>163905.62100000001</v>
      </c>
      <c r="Q83" s="41">
        <f>IF(OR(P83=0,J83=0),0,P83/J83)*100</f>
        <v>0.19803420808926719</v>
      </c>
      <c r="R83" s="38">
        <f>SUM(R61:R82)</f>
        <v>87396333.557999998</v>
      </c>
      <c r="S83" s="39">
        <f>IF(OR(R83=0,R$84=0),0,R83/R$84)*100</f>
        <v>1.0101138809917956</v>
      </c>
      <c r="T83" s="40">
        <f>SUM(T61:T82)</f>
        <v>2977050.3289999999</v>
      </c>
      <c r="U83" s="39">
        <f t="shared" si="122"/>
        <v>3.4063789724362983</v>
      </c>
      <c r="V83" s="40">
        <f>SUM(V61:V82)</f>
        <v>981751.84499999974</v>
      </c>
      <c r="W83" s="39">
        <f t="shared" si="124"/>
        <v>1.1233329878174656</v>
      </c>
      <c r="X83" s="40">
        <f>SUM(X61:X82)</f>
        <v>3958802.1740000001</v>
      </c>
      <c r="Y83" s="41">
        <f t="shared" si="126"/>
        <v>4.5297119602537643</v>
      </c>
      <c r="Z83" s="38"/>
      <c r="AA83" s="39">
        <f t="shared" si="136"/>
        <v>0</v>
      </c>
      <c r="AB83" s="40"/>
      <c r="AC83" s="39">
        <f t="shared" si="137"/>
        <v>0</v>
      </c>
      <c r="AD83" s="40"/>
      <c r="AE83" s="39">
        <f t="shared" si="138"/>
        <v>0</v>
      </c>
      <c r="AF83" s="40"/>
      <c r="AG83" s="41">
        <f t="shared" si="139"/>
        <v>0</v>
      </c>
      <c r="AH83" s="38">
        <f>SUM(AH61:AH82)</f>
        <v>20897351.763</v>
      </c>
      <c r="AI83" s="39">
        <f t="shared" si="140"/>
        <v>2.6486734776358651</v>
      </c>
      <c r="AJ83" s="40">
        <f>SUM(AJ61:AJ82)</f>
        <v>6807995.591</v>
      </c>
      <c r="AK83" s="39">
        <f>IF(OR(AJ83=0,AH83=0),0,AJ83/AH83)*100</f>
        <v>32.578269573152134</v>
      </c>
      <c r="AL83" s="40">
        <f>SUM(AL61:AL82)</f>
        <v>11253682.185000001</v>
      </c>
      <c r="AM83" s="39">
        <f>IF(OR(AL83=0,AH83=0),0,AL83/AH83)*100</f>
        <v>53.852192912430709</v>
      </c>
      <c r="AN83" s="40">
        <f>SUM(AN61:AN82)</f>
        <v>18061677.776000001</v>
      </c>
      <c r="AO83" s="41">
        <f t="shared" si="141"/>
        <v>86.430462485582851</v>
      </c>
      <c r="AP83" s="38"/>
      <c r="AQ83" s="39">
        <f t="shared" si="142"/>
        <v>0</v>
      </c>
      <c r="AR83" s="40">
        <f>SUM(AR61:AR82)</f>
        <v>0</v>
      </c>
      <c r="AS83" s="39">
        <f t="shared" si="143"/>
        <v>0</v>
      </c>
      <c r="AT83" s="40"/>
      <c r="AU83" s="39">
        <f t="shared" si="144"/>
        <v>0</v>
      </c>
      <c r="AV83" s="40">
        <f>SUM(AV61:AV82)</f>
        <v>0</v>
      </c>
      <c r="AW83" s="41">
        <f t="shared" si="145"/>
        <v>0</v>
      </c>
      <c r="AX83" s="38"/>
      <c r="AY83" s="39">
        <f t="shared" si="146"/>
        <v>0</v>
      </c>
      <c r="AZ83" s="40"/>
      <c r="BA83" s="39">
        <f t="shared" si="147"/>
        <v>0</v>
      </c>
      <c r="BB83" s="40"/>
      <c r="BC83" s="39">
        <f t="shared" si="148"/>
        <v>0</v>
      </c>
      <c r="BD83" s="40"/>
      <c r="BE83" s="41">
        <f t="shared" si="149"/>
        <v>0</v>
      </c>
      <c r="BF83" s="38">
        <f>SUM(BF61:BF82)</f>
        <v>114409000</v>
      </c>
      <c r="BG83" s="40">
        <f>SUM(BG61:BG82)</f>
        <v>25527368.035999998</v>
      </c>
      <c r="BH83" s="42">
        <f t="shared" si="150"/>
        <v>0.17987597149786602</v>
      </c>
      <c r="BI83" s="38">
        <f>SUM(BI61:BI82)</f>
        <v>0</v>
      </c>
      <c r="BJ83" s="40">
        <f>SUM(BJ61:BJ82)</f>
        <v>25527368.035999998</v>
      </c>
      <c r="BK83" s="40">
        <f>SUM(BK61:BK82)</f>
        <v>9655642.6390000004</v>
      </c>
      <c r="BL83" s="39">
        <f t="shared" si="151"/>
        <v>37.824669685425931</v>
      </c>
      <c r="BM83" s="40">
        <f>SUM(BM61:BM82)</f>
        <v>12200931.690000001</v>
      </c>
      <c r="BN83" s="39">
        <f t="shared" si="95"/>
        <v>47.795494125338827</v>
      </c>
      <c r="BO83" s="40">
        <f>SUM(BO61:BO82)</f>
        <v>21856574.329000004</v>
      </c>
      <c r="BP83" s="41">
        <f t="shared" si="119"/>
        <v>85.620163810764765</v>
      </c>
    </row>
    <row r="84" spans="1:68" s="17" customFormat="1" ht="16.5" thickBot="1" x14ac:dyDescent="0.3">
      <c r="A84" s="84" t="s">
        <v>101</v>
      </c>
      <c r="B84" s="43">
        <f>SUM(B52+B60+B83)</f>
        <v>3390507545.2439995</v>
      </c>
      <c r="C84" s="44">
        <f t="shared" si="131"/>
        <v>100</v>
      </c>
      <c r="D84" s="45">
        <f>SUM(D52+D60+D83)</f>
        <v>2169126528.5852995</v>
      </c>
      <c r="E84" s="44">
        <f t="shared" si="132"/>
        <v>63.976454841636318</v>
      </c>
      <c r="F84" s="45">
        <f>SUM(F52+F60+F83)</f>
        <v>1217522171.2073002</v>
      </c>
      <c r="G84" s="44">
        <f t="shared" si="133"/>
        <v>35.909731948987023</v>
      </c>
      <c r="H84" s="45">
        <f>SUM(H52+H60+H83)</f>
        <v>3386648699.7925997</v>
      </c>
      <c r="I84" s="46">
        <f t="shared" si="134"/>
        <v>99.886186790623341</v>
      </c>
      <c r="J84" s="43">
        <f>SUM(J52+J60+J83)</f>
        <v>5261619230.0249996</v>
      </c>
      <c r="K84" s="44">
        <f>IF(OR(J84=0,J$84=0),0,J84/J$84)*100</f>
        <v>100</v>
      </c>
      <c r="L84" s="45">
        <f>SUM(L52+L60+L83)</f>
        <v>585648902.403</v>
      </c>
      <c r="M84" s="44">
        <f>IF(OR(L84=0,J84=0),0,L84/J84)*100</f>
        <v>11.130583130399145</v>
      </c>
      <c r="N84" s="45">
        <f>SUM(N52+N60+N83)</f>
        <v>578050444.75100029</v>
      </c>
      <c r="O84" s="44">
        <f>IF(OR(N84=0,J84=0),0,N84/J84)*100</f>
        <v>10.986170216430766</v>
      </c>
      <c r="P84" s="45">
        <f>SUM(P52+P60+P83)</f>
        <v>1163699347.1540003</v>
      </c>
      <c r="Q84" s="46">
        <f>IF(OR(P84=0,J84=0),0,P84/J84)*100</f>
        <v>22.11675334682991</v>
      </c>
      <c r="R84" s="43">
        <f>SUM(R52+R60+R83)</f>
        <v>8652126775.269001</v>
      </c>
      <c r="S84" s="44">
        <f>IF(OR(R84=0,R$84=0),0,R84/R$84)*100</f>
        <v>100</v>
      </c>
      <c r="T84" s="45">
        <f>SUM(T52+T60+T83)</f>
        <v>2754775430.9882994</v>
      </c>
      <c r="U84" s="44">
        <f t="shared" si="122"/>
        <v>31.83928648459559</v>
      </c>
      <c r="V84" s="45">
        <f>SUM(V52+V60+V83)</f>
        <v>1795572615.9583006</v>
      </c>
      <c r="W84" s="44">
        <f t="shared" si="124"/>
        <v>20.752962394063797</v>
      </c>
      <c r="X84" s="45">
        <f>SUM(X52+X60+X83)</f>
        <v>4550348046.9466</v>
      </c>
      <c r="Y84" s="46">
        <f t="shared" si="126"/>
        <v>52.59224887865939</v>
      </c>
      <c r="Z84" s="43">
        <f>SUM(Z52+Z60+Z83)</f>
        <v>3900127616.7210002</v>
      </c>
      <c r="AA84" s="44">
        <f t="shared" si="136"/>
        <v>100</v>
      </c>
      <c r="AB84" s="45">
        <f>SUM(AB52+AB60+AB83)</f>
        <v>388372936.70100003</v>
      </c>
      <c r="AC84" s="44">
        <f t="shared" si="137"/>
        <v>9.9579545816893376</v>
      </c>
      <c r="AD84" s="45">
        <f>SUM(AD52+AD60+AD83)</f>
        <v>34662585.252999991</v>
      </c>
      <c r="AE84" s="44">
        <f t="shared" si="138"/>
        <v>0.88875515520033865</v>
      </c>
      <c r="AF84" s="45">
        <f>SUM(AF52+AF60+AF83)</f>
        <v>423035521.954</v>
      </c>
      <c r="AG84" s="46">
        <f t="shared" si="139"/>
        <v>10.846709736889675</v>
      </c>
      <c r="AH84" s="43">
        <f>SUM(AH52+AH60+AH83)</f>
        <v>788974252.18499994</v>
      </c>
      <c r="AI84" s="44">
        <f>IF(OR(AH84=0,AH$84=0),0,AH84/AH$84)*100</f>
        <v>100</v>
      </c>
      <c r="AJ84" s="45">
        <f>SUM(AJ52+AJ60+AJ83)</f>
        <v>292684817.70400006</v>
      </c>
      <c r="AK84" s="44">
        <f>IF(OR(AJ84=0,AH84=0),0,AJ84/AH84)*100</f>
        <v>37.096878243292899</v>
      </c>
      <c r="AL84" s="45">
        <f>SUM(AL52+AL60+AL83)</f>
        <v>274705847.74499989</v>
      </c>
      <c r="AM84" s="44">
        <f>IF(OR(AL84=0,AH84=0),0,AL84/AH84)*100</f>
        <v>34.818100461989019</v>
      </c>
      <c r="AN84" s="45">
        <f>SUM(AN52+AN60+AN83)</f>
        <v>567390665.44899988</v>
      </c>
      <c r="AO84" s="46">
        <f t="shared" si="141"/>
        <v>71.914978705281911</v>
      </c>
      <c r="AP84" s="43">
        <f>SUM(AP52+AP60+AP83)</f>
        <v>933187521.29600012</v>
      </c>
      <c r="AQ84" s="44">
        <f t="shared" si="142"/>
        <v>100</v>
      </c>
      <c r="AR84" s="45">
        <f>SUM(AR52+AR60+AR83)</f>
        <v>574585733.49099994</v>
      </c>
      <c r="AS84" s="44">
        <f t="shared" si="143"/>
        <v>61.572376438662815</v>
      </c>
      <c r="AT84" s="45">
        <f>SUM(AT52+AT60+AT83)</f>
        <v>329654579.09789991</v>
      </c>
      <c r="AU84" s="44">
        <f t="shared" si="144"/>
        <v>35.325652301916705</v>
      </c>
      <c r="AV84" s="45">
        <f>SUM(AV52+AV60+AV83)</f>
        <v>904240312.58889985</v>
      </c>
      <c r="AW84" s="46">
        <f t="shared" si="145"/>
        <v>96.89802874057952</v>
      </c>
      <c r="AX84" s="43"/>
      <c r="AY84" s="44">
        <f t="shared" si="146"/>
        <v>0</v>
      </c>
      <c r="AZ84" s="45"/>
      <c r="BA84" s="44">
        <f t="shared" si="147"/>
        <v>0</v>
      </c>
      <c r="BB84" s="45"/>
      <c r="BC84" s="44">
        <f t="shared" si="148"/>
        <v>0</v>
      </c>
      <c r="BD84" s="45"/>
      <c r="BE84" s="46">
        <f t="shared" si="149"/>
        <v>0</v>
      </c>
      <c r="BF84" s="43">
        <f>SUM(BF52+BF60+BF83)</f>
        <v>14212219323.966999</v>
      </c>
      <c r="BG84" s="45">
        <f>SUM(BG52+BG60+BG83)</f>
        <v>14191649848.186001</v>
      </c>
      <c r="BH84" s="47">
        <f t="shared" si="150"/>
        <v>100</v>
      </c>
      <c r="BI84" s="43" t="e">
        <f>SUM(BI52+BI60+BI83)</f>
        <v>#REF!</v>
      </c>
      <c r="BJ84" s="45" t="e">
        <f>SUM(BJ52+BJ60+BJ83)</f>
        <v>#REF!</v>
      </c>
      <c r="BK84" s="45">
        <f>SUM(BK52+BK60+BK83)</f>
        <v>4010289515.6032996</v>
      </c>
      <c r="BL84" s="44">
        <f t="shared" si="151"/>
        <v>28.258092318391725</v>
      </c>
      <c r="BM84" s="45">
        <f>SUM(BM52+BM60+BM83)</f>
        <v>2434561125.7141995</v>
      </c>
      <c r="BN84" s="44">
        <f t="shared" si="95"/>
        <v>17.15488439862677</v>
      </c>
      <c r="BO84" s="45">
        <f>SUM(BO52+BO60+BO83)</f>
        <v>6444850641.3174992</v>
      </c>
      <c r="BP84" s="46">
        <f t="shared" si="119"/>
        <v>45.412976717018495</v>
      </c>
    </row>
    <row r="85" spans="1:68" x14ac:dyDescent="0.2">
      <c r="BF85" s="48"/>
      <c r="BG85" s="48"/>
      <c r="BH85" s="49"/>
      <c r="BI85" s="49"/>
      <c r="BJ85" s="49"/>
      <c r="BK85" s="48"/>
      <c r="BL85" s="49"/>
      <c r="BM85" s="48"/>
      <c r="BN85" s="49"/>
      <c r="BO85" s="48"/>
    </row>
    <row r="86" spans="1:68" x14ac:dyDescent="0.2">
      <c r="B86" s="48">
        <f>SUM('[10]gastos ctas'!$F$434)</f>
        <v>3390507545.2439995</v>
      </c>
      <c r="C86" s="49"/>
      <c r="D86" s="48">
        <f>SUM('[10]gastos ctas'!$J$434)</f>
        <v>2169126528.5853</v>
      </c>
      <c r="E86" s="49"/>
      <c r="F86" s="48">
        <f>SUM('[10]gastos ctas'!$L$434)</f>
        <v>1217522171.2072997</v>
      </c>
      <c r="G86" s="49"/>
      <c r="H86" s="48">
        <f>SUM('[10]gastos ctas'!$N$434)</f>
        <v>3386648699.7925997</v>
      </c>
      <c r="I86" s="49"/>
      <c r="J86" s="48">
        <f>SUM('[10]gastos ctas'!$F$885)</f>
        <v>5261619230.0249996</v>
      </c>
      <c r="K86" s="49"/>
      <c r="L86" s="48">
        <f>SUM('[10]gastos ctas'!$J$885)</f>
        <v>585648902.40299988</v>
      </c>
      <c r="M86" s="49"/>
      <c r="N86" s="48">
        <f>SUM('[10]gastos ctas'!$L$885)</f>
        <v>578050444.7510004</v>
      </c>
      <c r="O86" s="49"/>
      <c r="P86" s="48">
        <f>SUM('[10]gastos ctas'!$N$885)</f>
        <v>1163699347.1540003</v>
      </c>
      <c r="R86" s="48">
        <f>SUM('[10]gastos ctas'!$F$433)</f>
        <v>8652126775.2689991</v>
      </c>
      <c r="S86" s="49"/>
      <c r="T86" s="48">
        <f>SUM('[10]gastos ctas'!$J$433)</f>
        <v>2754775430.9882998</v>
      </c>
      <c r="U86" s="49"/>
      <c r="V86" s="48">
        <f>SUM('[10]gastos ctas'!$L$433)</f>
        <v>1795572615.9583001</v>
      </c>
      <c r="W86" s="49"/>
      <c r="X86" s="48">
        <f>SUM('[10]gastos ctas'!$N$433)</f>
        <v>4550348046.9466</v>
      </c>
      <c r="Z86" s="48">
        <f>SUM('[10]gastos ctas'!$F$1628)</f>
        <v>1301822782.721</v>
      </c>
      <c r="AA86" s="49"/>
      <c r="AB86" s="48">
        <f>SUM('[10]gastos ctas'!$J$433)</f>
        <v>2754775430.9882998</v>
      </c>
      <c r="AC86" s="49"/>
      <c r="AD86" s="48">
        <f>SUM('[10]gastos ctas'!$L$433)</f>
        <v>1795572615.9583001</v>
      </c>
      <c r="AE86" s="49"/>
      <c r="AF86" s="48">
        <f>SUM('[10]gastos ctas'!$N$433)</f>
        <v>4550348046.9466</v>
      </c>
      <c r="BF86" s="48">
        <f>SUM('[10]gastos ctas'!$D$432)</f>
        <v>11581960489.966999</v>
      </c>
      <c r="BG86" s="48">
        <f>SUM('[10]gastos ctas'!$F$432)</f>
        <v>12164515251.615997</v>
      </c>
      <c r="BH86" s="49"/>
      <c r="BI86" s="49"/>
      <c r="BJ86" s="49"/>
      <c r="BK86" s="48">
        <f>SUM('[10]gastos ctas'!$J$432)</f>
        <v>4114709018.2793007</v>
      </c>
      <c r="BL86" s="49"/>
      <c r="BM86" s="48">
        <f>SUM('[10]gastos ctas'!$L$432)</f>
        <v>2742175839.926199</v>
      </c>
      <c r="BN86" s="49"/>
      <c r="BO86" s="48">
        <f>SUM('[10]gastos ctas'!$N$432)</f>
        <v>6856884858.2054996</v>
      </c>
    </row>
    <row r="87" spans="1:68" x14ac:dyDescent="0.2">
      <c r="B87" s="50">
        <f>SUM(B84-B86)</f>
        <v>0</v>
      </c>
      <c r="D87" s="50">
        <f>SUM(D84-D86)</f>
        <v>-4.76837158203125E-7</v>
      </c>
      <c r="F87" s="50">
        <f>SUM(F84-F86)</f>
        <v>4.76837158203125E-7</v>
      </c>
      <c r="H87" s="50">
        <f>SUM(H84-H86)</f>
        <v>0</v>
      </c>
      <c r="J87" s="50">
        <f>SUM(J84-J86)</f>
        <v>0</v>
      </c>
      <c r="L87" s="50">
        <f>SUM(L84-L86)</f>
        <v>1.1920928955078125E-7</v>
      </c>
      <c r="N87" s="50">
        <f>SUM(N84-N86)</f>
        <v>-1.1920928955078125E-7</v>
      </c>
      <c r="P87" s="50">
        <f>SUM(P84-P86)</f>
        <v>0</v>
      </c>
      <c r="R87" s="50">
        <f>SUM(R84-R86)</f>
        <v>1.9073486328125E-6</v>
      </c>
      <c r="T87" s="50">
        <f>SUM(T84-T86)</f>
        <v>-4.76837158203125E-7</v>
      </c>
      <c r="V87" s="50">
        <f>SUM(V84-V86)</f>
        <v>4.76837158203125E-7</v>
      </c>
      <c r="X87" s="50">
        <f>SUM(X84-X86)</f>
        <v>0</v>
      </c>
      <c r="Z87" s="50">
        <f>SUM(Z84-Z86)</f>
        <v>2598304834</v>
      </c>
      <c r="AB87" s="50">
        <f>SUM(AB84-AB86)</f>
        <v>-2366402494.2872996</v>
      </c>
      <c r="AD87" s="50">
        <f>SUM(AD84-AD86)</f>
        <v>-1760910030.7053001</v>
      </c>
      <c r="AF87" s="50">
        <f>SUM(AF84-AF86)</f>
        <v>-4127312524.9926</v>
      </c>
      <c r="BF87" s="48"/>
      <c r="BG87" s="48"/>
      <c r="BK87" s="48"/>
      <c r="BM87" s="48"/>
      <c r="BO87" s="48"/>
    </row>
  </sheetData>
  <mergeCells count="20">
    <mergeCell ref="AP2:AW2"/>
    <mergeCell ref="J2:Q2"/>
    <mergeCell ref="R2:Y2"/>
    <mergeCell ref="BF3:BJ3"/>
    <mergeCell ref="BK3:BP3"/>
    <mergeCell ref="AX2:BE2"/>
    <mergeCell ref="BF2:BP2"/>
    <mergeCell ref="Z3:AA3"/>
    <mergeCell ref="AB3:AG3"/>
    <mergeCell ref="AH3:AI3"/>
    <mergeCell ref="AJ3:AO3"/>
    <mergeCell ref="AX3:AY3"/>
    <mergeCell ref="AZ3:BE3"/>
    <mergeCell ref="AP3:AQ3"/>
    <mergeCell ref="AR3:AW3"/>
    <mergeCell ref="B3:C3"/>
    <mergeCell ref="D3:I3"/>
    <mergeCell ref="B2:I2"/>
    <mergeCell ref="Z2:AG2"/>
    <mergeCell ref="AH2:AO2"/>
  </mergeCells>
  <phoneticPr fontId="2" type="noConversion"/>
  <printOptions horizontalCentered="1" verticalCentered="1"/>
  <pageMargins left="0" right="0" top="0.51181102362204722" bottom="0.39370078740157483" header="0" footer="0"/>
  <pageSetup scale="65" orientation="landscape" r:id="rId1"/>
  <headerFooter alignWithMargins="0">
    <oddHeader>&amp;CAdministración Distrtital
Presupuesto y ejecución de la Inversión por entidades
a 31 de diciembre de 2011&amp;R
Miles de pesos</oddHeader>
    <oddFooter>&amp;LFuente: formato CB103 de gastos de SIVICOF&amp;C&amp;P/&amp;N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tabSelected="1" workbookViewId="0">
      <pane xSplit="1" ySplit="4" topLeftCell="S59" activePane="bottomRight" state="frozen"/>
      <selection pane="topRight" activeCell="B1" sqref="B1"/>
      <selection pane="bottomLeft" activeCell="A5" sqref="A5"/>
      <selection pane="bottomRight" sqref="A1:A4"/>
    </sheetView>
  </sheetViews>
  <sheetFormatPr baseColWidth="10" defaultRowHeight="15" x14ac:dyDescent="0.2"/>
  <cols>
    <col min="1" max="1" width="37.21875" style="86" customWidth="1"/>
    <col min="2" max="2" width="13.5546875" customWidth="1"/>
    <col min="3" max="3" width="5.6640625" customWidth="1"/>
    <col min="4" max="4" width="15.77734375" customWidth="1"/>
    <col min="5" max="5" width="5.21875" customWidth="1"/>
    <col min="6" max="6" width="14.33203125" customWidth="1"/>
    <col min="7" max="7" width="5.21875" customWidth="1"/>
    <col min="8" max="8" width="15.77734375" customWidth="1"/>
    <col min="9" max="9" width="5.21875" customWidth="1"/>
    <col min="10" max="10" width="15.77734375" customWidth="1"/>
    <col min="11" max="11" width="5.6640625" customWidth="1"/>
    <col min="12" max="12" width="14.33203125" customWidth="1"/>
    <col min="13" max="13" width="5.21875" customWidth="1"/>
    <col min="14" max="14" width="14.33203125" customWidth="1"/>
    <col min="15" max="15" width="5.21875" customWidth="1"/>
    <col min="16" max="16" width="13.5546875" customWidth="1"/>
    <col min="17" max="17" width="4.109375" customWidth="1"/>
    <col min="18" max="18" width="15.88671875" customWidth="1"/>
    <col min="19" max="19" width="5.6640625" bestFit="1" customWidth="1"/>
    <col min="20" max="20" width="14.88671875" customWidth="1"/>
    <col min="21" max="21" width="5.21875" customWidth="1"/>
    <col min="22" max="22" width="13.33203125" customWidth="1"/>
    <col min="23" max="23" width="3.5546875" customWidth="1"/>
    <col min="24" max="24" width="14.21875" bestFit="1" customWidth="1"/>
    <col min="25" max="25" width="4.33203125" bestFit="1" customWidth="1"/>
    <col min="26" max="27" width="14.33203125" customWidth="1"/>
    <col min="28" max="28" width="5.6640625" customWidth="1"/>
    <col min="29" max="29" width="15.77734375" customWidth="1"/>
    <col min="30" max="30" width="5.21875" customWidth="1"/>
    <col min="31" max="31" width="14.33203125" customWidth="1"/>
    <col min="32" max="32" width="5.21875" customWidth="1"/>
    <col min="33" max="33" width="15.77734375" customWidth="1"/>
    <col min="34" max="34" width="5.21875" customWidth="1"/>
  </cols>
  <sheetData>
    <row r="1" spans="1:34" ht="15.75" thickBot="1" x14ac:dyDescent="0.25">
      <c r="A1" s="556" t="s">
        <v>391</v>
      </c>
      <c r="J1" s="6"/>
    </row>
    <row r="2" spans="1:34" ht="15.75" thickBot="1" x14ac:dyDescent="0.25">
      <c r="A2" s="556"/>
      <c r="B2" s="546" t="s">
        <v>332</v>
      </c>
      <c r="C2" s="547"/>
      <c r="D2" s="547"/>
      <c r="E2" s="547"/>
      <c r="F2" s="547"/>
      <c r="G2" s="547"/>
      <c r="H2" s="547"/>
      <c r="I2" s="548"/>
      <c r="J2" s="546" t="s">
        <v>333</v>
      </c>
      <c r="K2" s="547"/>
      <c r="L2" s="547"/>
      <c r="M2" s="547"/>
      <c r="N2" s="547"/>
      <c r="O2" s="547"/>
      <c r="P2" s="547"/>
      <c r="Q2" s="548"/>
      <c r="R2" s="546" t="s">
        <v>334</v>
      </c>
      <c r="S2" s="547"/>
      <c r="T2" s="547"/>
      <c r="U2" s="547"/>
      <c r="V2" s="547"/>
      <c r="W2" s="547"/>
      <c r="X2" s="547"/>
      <c r="Y2" s="548"/>
      <c r="Z2" s="344"/>
      <c r="AA2" s="546" t="s">
        <v>329</v>
      </c>
      <c r="AB2" s="547"/>
      <c r="AC2" s="547"/>
      <c r="AD2" s="547"/>
      <c r="AE2" s="547"/>
      <c r="AF2" s="547"/>
      <c r="AG2" s="547"/>
      <c r="AH2" s="548"/>
    </row>
    <row r="3" spans="1:34" x14ac:dyDescent="0.2">
      <c r="A3" s="556" t="s">
        <v>392</v>
      </c>
      <c r="B3" s="549" t="s">
        <v>102</v>
      </c>
      <c r="C3" s="543"/>
      <c r="D3" s="544" t="s">
        <v>103</v>
      </c>
      <c r="E3" s="544"/>
      <c r="F3" s="544"/>
      <c r="G3" s="544"/>
      <c r="H3" s="544"/>
      <c r="I3" s="545"/>
      <c r="J3" s="542" t="s">
        <v>102</v>
      </c>
      <c r="K3" s="543"/>
      <c r="L3" s="544" t="s">
        <v>103</v>
      </c>
      <c r="M3" s="544"/>
      <c r="N3" s="544"/>
      <c r="O3" s="544"/>
      <c r="P3" s="544"/>
      <c r="Q3" s="545"/>
      <c r="R3" s="542" t="s">
        <v>102</v>
      </c>
      <c r="S3" s="543"/>
      <c r="T3" s="544" t="s">
        <v>103</v>
      </c>
      <c r="U3" s="544"/>
      <c r="V3" s="544"/>
      <c r="W3" s="544"/>
      <c r="X3" s="544"/>
      <c r="Y3" s="545"/>
      <c r="Z3" s="345"/>
      <c r="AA3" s="542" t="s">
        <v>102</v>
      </c>
      <c r="AB3" s="543"/>
      <c r="AC3" s="544" t="s">
        <v>103</v>
      </c>
      <c r="AD3" s="544"/>
      <c r="AE3" s="544"/>
      <c r="AF3" s="544"/>
      <c r="AG3" s="544"/>
      <c r="AH3" s="545"/>
    </row>
    <row r="4" spans="1:34" ht="15.75" thickBot="1" x14ac:dyDescent="0.25">
      <c r="A4" s="557"/>
      <c r="B4" s="51" t="s">
        <v>104</v>
      </c>
      <c r="C4" s="52" t="s">
        <v>105</v>
      </c>
      <c r="D4" s="53" t="s">
        <v>106</v>
      </c>
      <c r="E4" s="54" t="s">
        <v>107</v>
      </c>
      <c r="F4" s="53" t="s">
        <v>108</v>
      </c>
      <c r="G4" s="54" t="s">
        <v>107</v>
      </c>
      <c r="H4" s="53" t="s">
        <v>109</v>
      </c>
      <c r="I4" s="55" t="s">
        <v>107</v>
      </c>
      <c r="J4" s="56" t="s">
        <v>104</v>
      </c>
      <c r="K4" s="52" t="s">
        <v>105</v>
      </c>
      <c r="L4" s="53" t="s">
        <v>106</v>
      </c>
      <c r="M4" s="54" t="s">
        <v>107</v>
      </c>
      <c r="N4" s="53" t="s">
        <v>108</v>
      </c>
      <c r="O4" s="54" t="s">
        <v>107</v>
      </c>
      <c r="P4" s="53" t="s">
        <v>109</v>
      </c>
      <c r="Q4" s="55" t="s">
        <v>107</v>
      </c>
      <c r="R4" s="56" t="s">
        <v>104</v>
      </c>
      <c r="S4" s="52" t="s">
        <v>105</v>
      </c>
      <c r="T4" s="53" t="s">
        <v>106</v>
      </c>
      <c r="U4" s="54" t="s">
        <v>107</v>
      </c>
      <c r="V4" s="53" t="s">
        <v>108</v>
      </c>
      <c r="W4" s="54" t="s">
        <v>107</v>
      </c>
      <c r="X4" s="53" t="s">
        <v>109</v>
      </c>
      <c r="Y4" s="55" t="s">
        <v>107</v>
      </c>
      <c r="Z4" s="56" t="s">
        <v>17</v>
      </c>
      <c r="AA4" s="56" t="s">
        <v>104</v>
      </c>
      <c r="AB4" s="52" t="s">
        <v>105</v>
      </c>
      <c r="AC4" s="53" t="s">
        <v>106</v>
      </c>
      <c r="AD4" s="54" t="s">
        <v>107</v>
      </c>
      <c r="AE4" s="53" t="s">
        <v>108</v>
      </c>
      <c r="AF4" s="54" t="s">
        <v>107</v>
      </c>
      <c r="AG4" s="53" t="s">
        <v>109</v>
      </c>
      <c r="AH4" s="55" t="s">
        <v>107</v>
      </c>
    </row>
    <row r="5" spans="1:34" x14ac:dyDescent="0.2">
      <c r="A5" s="2" t="s">
        <v>21</v>
      </c>
      <c r="B5" s="347"/>
      <c r="C5" s="58">
        <f t="shared" ref="C5:C69" si="0">IF(OR(B5=0,B$85=0),0,B5/B$86)*100</f>
        <v>0</v>
      </c>
      <c r="D5" s="347"/>
      <c r="E5" s="60">
        <f>IF(OR(D5=0,B5=0),0,D5/B5)*100</f>
        <v>0</v>
      </c>
      <c r="F5" s="59">
        <f>SUM(H5-D5)</f>
        <v>0</v>
      </c>
      <c r="G5" s="60">
        <f>IF(OR(F5=0,B7=0),0,F5/B7)*100</f>
        <v>0</v>
      </c>
      <c r="H5" s="347"/>
      <c r="I5" s="61">
        <f>IF(OR(H5=0,B5=0),0,H5/B5)*100</f>
        <v>0</v>
      </c>
      <c r="J5" s="347"/>
      <c r="K5" s="58">
        <f t="shared" ref="K5:K68" si="1">IF(OR(J5=0,J$85=0),0,J5/J$86)*100</f>
        <v>0</v>
      </c>
      <c r="L5" s="347"/>
      <c r="M5" s="60">
        <f>IF(OR(L5=0,J5=0),0,L5/J5)*100</f>
        <v>0</v>
      </c>
      <c r="N5" s="59">
        <f t="shared" ref="N5:N24" si="2">SUM(P5-L5)</f>
        <v>0</v>
      </c>
      <c r="O5" s="60">
        <f>IF(OR(N5=0,J7=0),0,N5/J7)*100</f>
        <v>0</v>
      </c>
      <c r="P5" s="347"/>
      <c r="Q5" s="61">
        <f>IF(OR(P5=0,J5=0),0,P5/J5)*100</f>
        <v>0</v>
      </c>
      <c r="R5" s="347"/>
      <c r="S5" s="58">
        <f t="shared" ref="S5:S68" si="3">IF(OR(R5=0,R$85=0),0,R5/R$86)*100</f>
        <v>0</v>
      </c>
      <c r="T5" s="347"/>
      <c r="U5" s="60">
        <f>IF(OR(T5=0,R5=0),0,T5/R5)*100</f>
        <v>0</v>
      </c>
      <c r="V5" s="59">
        <f t="shared" ref="V5:V24" si="4">SUM(X5-T5)</f>
        <v>0</v>
      </c>
      <c r="W5" s="60">
        <f>IF(OR(V5=0,R7=0),0,V5/R7)*100</f>
        <v>0</v>
      </c>
      <c r="X5" s="347"/>
      <c r="Y5" s="61">
        <f>IF(OR(X5=0,R5=0),0,X5/R5)*100</f>
        <v>0</v>
      </c>
      <c r="Z5" s="347"/>
      <c r="AA5" s="57">
        <f>SUM(B5+J5+R5)</f>
        <v>0</v>
      </c>
      <c r="AB5" s="60">
        <f t="shared" ref="AB5:AB37" si="5">IF(OR(AA5=0,AA$85=0),0,AA5/AA$86)*100</f>
        <v>0</v>
      </c>
      <c r="AC5" s="59">
        <f>SUM(D5+L5+T5)</f>
        <v>0</v>
      </c>
      <c r="AD5" s="60">
        <f t="shared" ref="AD5:AD29" si="6">IF(OR(AC5=0,AA5=0),0,AC5/AA5)*100</f>
        <v>0</v>
      </c>
      <c r="AE5" s="59">
        <f>SUM(F5+N5+V5)</f>
        <v>0</v>
      </c>
      <c r="AF5" s="60">
        <f>IF(OR(AE5=0,AA7=0),0,AE5/AA7)*100</f>
        <v>0</v>
      </c>
      <c r="AG5" s="59">
        <f>SUM(AC5+AE5)</f>
        <v>0</v>
      </c>
      <c r="AH5" s="61">
        <f t="shared" ref="AH5:AH29" si="7">IF(OR(AG5=0,AA5=0),0,AG5/AA5)*100</f>
        <v>0</v>
      </c>
    </row>
    <row r="6" spans="1:34" x14ac:dyDescent="0.2">
      <c r="A6" s="5" t="s">
        <v>22</v>
      </c>
      <c r="B6" s="6"/>
      <c r="C6" s="58">
        <f t="shared" si="0"/>
        <v>0</v>
      </c>
      <c r="D6" s="6"/>
      <c r="E6" s="63">
        <f>IF(OR(D6=0,B6=0),0,D6/B6)*100</f>
        <v>0</v>
      </c>
      <c r="F6" s="8">
        <f>SUM(H6-D6)</f>
        <v>0</v>
      </c>
      <c r="G6" s="63">
        <f>IF(OR(F6=0,B6=0),0,F6/B6)*100</f>
        <v>0</v>
      </c>
      <c r="H6" s="6"/>
      <c r="I6" s="9">
        <f>IF(OR(H6=0,B6=0),0,H6/B6)*100</f>
        <v>0</v>
      </c>
      <c r="J6" s="6"/>
      <c r="K6" s="58">
        <f t="shared" si="1"/>
        <v>0</v>
      </c>
      <c r="L6" s="6"/>
      <c r="M6" s="63">
        <f>IF(OR(L6=0,J6=0),0,L6/J6)*100</f>
        <v>0</v>
      </c>
      <c r="N6" s="8">
        <f t="shared" si="2"/>
        <v>0</v>
      </c>
      <c r="O6" s="63">
        <f>IF(OR(N6=0,J6=0),0,N6/J6)*100</f>
        <v>0</v>
      </c>
      <c r="P6" s="6"/>
      <c r="Q6" s="9">
        <f>IF(OR(P6=0,J6=0),0,P6/J6)*100</f>
        <v>0</v>
      </c>
      <c r="R6" s="6">
        <f>SUM([11]per!$F$78)</f>
        <v>8973875000</v>
      </c>
      <c r="S6" s="58">
        <f t="shared" si="3"/>
        <v>1.1852800959534169</v>
      </c>
      <c r="T6" s="6">
        <f>SUM([11]per!$M$78)</f>
        <v>7822439021</v>
      </c>
      <c r="U6" s="63">
        <f>IF(OR(T6=0,R6=0),0,T6/R6)*100</f>
        <v>87.169021420512323</v>
      </c>
      <c r="V6" s="8">
        <f t="shared" si="4"/>
        <v>1147665227</v>
      </c>
      <c r="W6" s="63">
        <f>IF(OR(V6=0,R6=0),0,V6/R6)*100</f>
        <v>12.788959362594197</v>
      </c>
      <c r="X6" s="6">
        <f>SUM([11]per!$J$78)</f>
        <v>8970104248</v>
      </c>
      <c r="Y6" s="9">
        <f>IF(OR(X6=0,R6=0),0,X6/R6)*100</f>
        <v>99.957980783106521</v>
      </c>
      <c r="Z6" s="6">
        <f>SUM([11]per!$D$77)</f>
        <v>8973875000</v>
      </c>
      <c r="AA6" s="62">
        <f>SUM(B6+J6+R6)</f>
        <v>8973875000</v>
      </c>
      <c r="AB6" s="63">
        <f t="shared" si="5"/>
        <v>7.9298087920688931E-2</v>
      </c>
      <c r="AC6" s="8">
        <f>SUM(D6+L6+T6)</f>
        <v>7822439021</v>
      </c>
      <c r="AD6" s="63">
        <f t="shared" si="6"/>
        <v>87.169021420512323</v>
      </c>
      <c r="AE6" s="8">
        <f>SUM(F6+N6+V6)</f>
        <v>1147665227</v>
      </c>
      <c r="AF6" s="63">
        <f t="shared" ref="AF6:AF29" si="8">IF(OR(AE6=0,AA6=0),0,AE6/AA6)*100</f>
        <v>12.788959362594197</v>
      </c>
      <c r="AG6" s="8">
        <f>SUM(AC6+AE6)</f>
        <v>8970104248</v>
      </c>
      <c r="AH6" s="9">
        <f t="shared" si="7"/>
        <v>99.957980783106521</v>
      </c>
    </row>
    <row r="7" spans="1:34" x14ac:dyDescent="0.2">
      <c r="A7" s="5" t="s">
        <v>23</v>
      </c>
      <c r="B7" s="6">
        <f>SUM([11]alc!$F$84)</f>
        <v>21438025696</v>
      </c>
      <c r="C7" s="58">
        <f t="shared" si="0"/>
        <v>0.32172465016794599</v>
      </c>
      <c r="D7" s="6">
        <f>SUM([11]alc!$M$84)</f>
        <v>14493512313</v>
      </c>
      <c r="E7" s="63">
        <f t="shared" ref="E7:E71" si="9">IF(OR(D7=0,B7=0),0,D7/B7)*100</f>
        <v>67.606562836167612</v>
      </c>
      <c r="F7" s="8">
        <f t="shared" ref="F7:F71" si="10">SUM(H7-D7)</f>
        <v>4033243563</v>
      </c>
      <c r="G7" s="63">
        <f t="shared" ref="G7:G71" si="11">IF(OR(F7=0,B7=0),0,F7/B7)*100</f>
        <v>18.813502792622081</v>
      </c>
      <c r="H7" s="6">
        <f>SUM([11]alc!$J$84)</f>
        <v>18526755876</v>
      </c>
      <c r="I7" s="9">
        <f t="shared" ref="I7:I69" si="12">IF(OR(H7=0,B7=0),0,H7/B7)*100</f>
        <v>86.4200656287897</v>
      </c>
      <c r="J7" s="6"/>
      <c r="K7" s="58">
        <f t="shared" si="1"/>
        <v>0</v>
      </c>
      <c r="L7" s="6"/>
      <c r="M7" s="63">
        <f t="shared" ref="M7:M23" si="13">IF(OR(L7=0,J7=0),0,L7/J7)*100</f>
        <v>0</v>
      </c>
      <c r="N7" s="8">
        <f t="shared" si="2"/>
        <v>0</v>
      </c>
      <c r="O7" s="63">
        <f t="shared" ref="O7:O23" si="14">IF(OR(N7=0,J7=0),0,N7/J7)*100</f>
        <v>0</v>
      </c>
      <c r="P7" s="6"/>
      <c r="Q7" s="9">
        <f t="shared" ref="Q7:Q69" si="15">IF(OR(P7=0,J7=0),0,P7/J7)*100</f>
        <v>0</v>
      </c>
      <c r="R7" s="6">
        <f>SUM([11]alc!$F$89)</f>
        <v>100161305787</v>
      </c>
      <c r="S7" s="58">
        <f t="shared" si="3"/>
        <v>13.229424538901524</v>
      </c>
      <c r="T7" s="6">
        <f>SUM([11]alc!$M$89)</f>
        <v>67520717045</v>
      </c>
      <c r="U7" s="63">
        <f t="shared" ref="U7:U23" si="16">IF(OR(T7=0,R7=0),0,T7/R7)*100</f>
        <v>67.411977623961405</v>
      </c>
      <c r="V7" s="8">
        <f t="shared" si="4"/>
        <v>29177357300</v>
      </c>
      <c r="W7" s="63">
        <f t="shared" ref="W7:W23" si="17">IF(OR(V7=0,R7=0),0,V7/R7)*100</f>
        <v>29.130368330109118</v>
      </c>
      <c r="X7" s="6">
        <f>SUM([11]alc!$J$89)</f>
        <v>96698074345</v>
      </c>
      <c r="Y7" s="9">
        <f t="shared" ref="Y7:Y69" si="18">IF(OR(X7=0,R7=0),0,X7/R7)*100</f>
        <v>96.542345954070512</v>
      </c>
      <c r="Z7" s="6">
        <f>SUM([11]alc!$D$83)</f>
        <v>121671297000</v>
      </c>
      <c r="AA7" s="62">
        <f>SUM(B7+J7+R7)</f>
        <v>121599331483</v>
      </c>
      <c r="AB7" s="63">
        <f t="shared" si="5"/>
        <v>1.0745184749103291</v>
      </c>
      <c r="AC7" s="8">
        <f>SUM(D7+L7+T7)</f>
        <v>82014229358</v>
      </c>
      <c r="AD7" s="63">
        <f t="shared" si="6"/>
        <v>67.446283098575975</v>
      </c>
      <c r="AE7" s="8">
        <f>SUM(F7+N7+V7)</f>
        <v>33210600863</v>
      </c>
      <c r="AF7" s="63">
        <f t="shared" si="8"/>
        <v>27.311499543599837</v>
      </c>
      <c r="AG7" s="8">
        <f>SUM(AC7+AE7)</f>
        <v>115224830221</v>
      </c>
      <c r="AH7" s="9">
        <f t="shared" si="7"/>
        <v>94.757782642175812</v>
      </c>
    </row>
    <row r="8" spans="1:34" x14ac:dyDescent="0.2">
      <c r="A8" s="5" t="s">
        <v>24</v>
      </c>
      <c r="B8" s="6"/>
      <c r="C8" s="58">
        <f t="shared" si="0"/>
        <v>0</v>
      </c>
      <c r="D8" s="6"/>
      <c r="E8" s="63">
        <f t="shared" si="9"/>
        <v>0</v>
      </c>
      <c r="F8" s="8">
        <f t="shared" si="10"/>
        <v>0</v>
      </c>
      <c r="G8" s="63">
        <f t="shared" si="11"/>
        <v>0</v>
      </c>
      <c r="H8" s="6"/>
      <c r="I8" s="9">
        <f t="shared" si="12"/>
        <v>0</v>
      </c>
      <c r="J8" s="6"/>
      <c r="K8" s="58">
        <f t="shared" si="1"/>
        <v>0</v>
      </c>
      <c r="L8" s="6"/>
      <c r="M8" s="63">
        <f t="shared" si="13"/>
        <v>0</v>
      </c>
      <c r="N8" s="8">
        <f t="shared" si="2"/>
        <v>0</v>
      </c>
      <c r="O8" s="63">
        <f t="shared" si="14"/>
        <v>0</v>
      </c>
      <c r="P8" s="6"/>
      <c r="Q8" s="9">
        <f t="shared" si="15"/>
        <v>0</v>
      </c>
      <c r="R8" s="6">
        <f>SUM([11]vee!$F$72)</f>
        <v>1187719000</v>
      </c>
      <c r="S8" s="58">
        <f t="shared" si="3"/>
        <v>0.15687533983766169</v>
      </c>
      <c r="T8" s="6">
        <f>SUM([11]vee!$M$72)</f>
        <v>1034704651</v>
      </c>
      <c r="U8" s="63">
        <f t="shared" si="16"/>
        <v>87.116957041185671</v>
      </c>
      <c r="V8" s="8">
        <f t="shared" si="4"/>
        <v>149075170</v>
      </c>
      <c r="W8" s="63">
        <f t="shared" si="17"/>
        <v>12.551383786905825</v>
      </c>
      <c r="X8" s="6">
        <f>SUM([11]vee!$J$72)</f>
        <v>1183779821</v>
      </c>
      <c r="Y8" s="9">
        <f t="shared" si="18"/>
        <v>99.668340828091502</v>
      </c>
      <c r="Z8" s="6">
        <f>SUM([11]vee!$D$71)</f>
        <v>1187719000</v>
      </c>
      <c r="AA8" s="62">
        <f>SUM(B8+J8+R8)</f>
        <v>1187719000</v>
      </c>
      <c r="AB8" s="63">
        <f t="shared" si="5"/>
        <v>1.0495337375110833E-2</v>
      </c>
      <c r="AC8" s="8">
        <f>SUM(D8+L8+T8)</f>
        <v>1034704651</v>
      </c>
      <c r="AD8" s="63">
        <f t="shared" si="6"/>
        <v>87.116957041185671</v>
      </c>
      <c r="AE8" s="8">
        <f>SUM(F8+N8+V8)</f>
        <v>149075170</v>
      </c>
      <c r="AF8" s="63">
        <f t="shared" si="8"/>
        <v>12.551383786905825</v>
      </c>
      <c r="AG8" s="8">
        <f>SUM(AC8+AE8)</f>
        <v>1183779821</v>
      </c>
      <c r="AH8" s="9">
        <f t="shared" si="7"/>
        <v>99.668340828091502</v>
      </c>
    </row>
    <row r="9" spans="1:34" x14ac:dyDescent="0.2">
      <c r="A9" s="5" t="s">
        <v>25</v>
      </c>
      <c r="B9" s="6">
        <f>SUM([11]gob!$F$81)</f>
        <v>16049538697</v>
      </c>
      <c r="C9" s="58">
        <f t="shared" si="0"/>
        <v>0.24085857046120956</v>
      </c>
      <c r="D9" s="6">
        <f>SUM([11]gob!$M$81)</f>
        <v>5206510079</v>
      </c>
      <c r="E9" s="63">
        <f t="shared" si="9"/>
        <v>32.440247519221266</v>
      </c>
      <c r="F9" s="8">
        <f t="shared" si="10"/>
        <v>9266420664</v>
      </c>
      <c r="G9" s="63">
        <f t="shared" si="11"/>
        <v>57.736367623650708</v>
      </c>
      <c r="H9" s="6">
        <f>SUM([11]gob!$J$81)</f>
        <v>14472930743</v>
      </c>
      <c r="I9" s="9">
        <f t="shared" si="12"/>
        <v>90.176615142871981</v>
      </c>
      <c r="J9" s="6"/>
      <c r="K9" s="58">
        <f t="shared" si="1"/>
        <v>0</v>
      </c>
      <c r="L9" s="6"/>
      <c r="M9" s="63">
        <f t="shared" si="13"/>
        <v>0</v>
      </c>
      <c r="N9" s="8">
        <f t="shared" si="2"/>
        <v>0</v>
      </c>
      <c r="O9" s="63">
        <f t="shared" si="14"/>
        <v>0</v>
      </c>
      <c r="P9" s="6"/>
      <c r="Q9" s="9">
        <f t="shared" si="15"/>
        <v>0</v>
      </c>
      <c r="R9" s="6">
        <f>SUM([11]gob!$F$99)</f>
        <v>41294848457</v>
      </c>
      <c r="S9" s="58">
        <f t="shared" si="3"/>
        <v>5.4542727574759819</v>
      </c>
      <c r="T9" s="6">
        <f>SUM([11]gob!$M$99)</f>
        <v>34715209667</v>
      </c>
      <c r="U9" s="63">
        <f t="shared" si="16"/>
        <v>84.066683773276637</v>
      </c>
      <c r="V9" s="8">
        <f t="shared" si="4"/>
        <v>5651935979</v>
      </c>
      <c r="W9" s="63">
        <f t="shared" si="17"/>
        <v>13.686782226323743</v>
      </c>
      <c r="X9" s="6">
        <f>SUM([11]gob!$J$99)</f>
        <v>40367145646</v>
      </c>
      <c r="Y9" s="9">
        <f t="shared" si="18"/>
        <v>97.75346599960038</v>
      </c>
      <c r="Z9" s="6">
        <f>SUM([11]gob!$D$80)</f>
        <v>58073536000</v>
      </c>
      <c r="AA9" s="62">
        <f>SUM(B9+J9+R9)</f>
        <v>57344387154</v>
      </c>
      <c r="AB9" s="63">
        <f t="shared" si="5"/>
        <v>0.50672649822912808</v>
      </c>
      <c r="AC9" s="8">
        <f>SUM(D9+L9+T9)</f>
        <v>39921719746</v>
      </c>
      <c r="AD9" s="63">
        <f t="shared" si="6"/>
        <v>69.617484338596341</v>
      </c>
      <c r="AE9" s="8">
        <f>SUM(F9+N9+V9)</f>
        <v>14918356643</v>
      </c>
      <c r="AF9" s="63">
        <f t="shared" si="8"/>
        <v>26.01537375041837</v>
      </c>
      <c r="AG9" s="8">
        <f>SUM(AC9+AE9)</f>
        <v>54840076389</v>
      </c>
      <c r="AH9" s="9">
        <f t="shared" si="7"/>
        <v>95.632858089014704</v>
      </c>
    </row>
    <row r="10" spans="1:34" x14ac:dyDescent="0.2">
      <c r="A10" s="5" t="s">
        <v>26</v>
      </c>
      <c r="B10" s="6">
        <f>SUM(B11:B14)</f>
        <v>0</v>
      </c>
      <c r="C10" s="58">
        <f t="shared" si="0"/>
        <v>0</v>
      </c>
      <c r="D10" s="6">
        <f>SUM(D11:D14)</f>
        <v>0</v>
      </c>
      <c r="E10" s="63">
        <f t="shared" si="9"/>
        <v>0</v>
      </c>
      <c r="F10" s="8">
        <f t="shared" si="10"/>
        <v>0</v>
      </c>
      <c r="G10" s="63">
        <f t="shared" si="11"/>
        <v>0</v>
      </c>
      <c r="H10" s="6">
        <f>SUM(H11:H14)</f>
        <v>0</v>
      </c>
      <c r="I10" s="9">
        <f t="shared" si="12"/>
        <v>0</v>
      </c>
      <c r="J10" s="6">
        <f>SUM(J11:J14)</f>
        <v>0</v>
      </c>
      <c r="K10" s="58">
        <f t="shared" si="1"/>
        <v>0</v>
      </c>
      <c r="L10" s="6">
        <f>SUM(L11:L14)</f>
        <v>0</v>
      </c>
      <c r="M10" s="63">
        <f t="shared" si="13"/>
        <v>0</v>
      </c>
      <c r="N10" s="8">
        <f t="shared" si="2"/>
        <v>0</v>
      </c>
      <c r="O10" s="63">
        <f t="shared" si="14"/>
        <v>0</v>
      </c>
      <c r="P10" s="6">
        <f>SUM(P11:P14)</f>
        <v>0</v>
      </c>
      <c r="Q10" s="9">
        <f t="shared" si="15"/>
        <v>0</v>
      </c>
      <c r="R10" s="6">
        <f>SUM(R11:R14)</f>
        <v>40071212550</v>
      </c>
      <c r="S10" s="58">
        <f t="shared" si="3"/>
        <v>5.2926534697924552</v>
      </c>
      <c r="T10" s="6">
        <f>SUM(T11:T14)</f>
        <v>16874696603</v>
      </c>
      <c r="U10" s="63">
        <f t="shared" si="16"/>
        <v>42.111769345497386</v>
      </c>
      <c r="V10" s="8">
        <f t="shared" si="4"/>
        <v>16987105098</v>
      </c>
      <c r="W10" s="63">
        <f t="shared" si="17"/>
        <v>42.392291166142911</v>
      </c>
      <c r="X10" s="6">
        <f>SUM(X11:X14)</f>
        <v>33861801701</v>
      </c>
      <c r="Y10" s="9">
        <f t="shared" si="18"/>
        <v>84.504060511640304</v>
      </c>
      <c r="Z10" s="6">
        <f>SUM(Z11:Z14)</f>
        <v>40082233000</v>
      </c>
      <c r="AA10" s="6">
        <f>SUM(AA11:AA14)</f>
        <v>40071212550</v>
      </c>
      <c r="AB10" s="58">
        <f t="shared" si="5"/>
        <v>0.35409124106124867</v>
      </c>
      <c r="AC10" s="8">
        <f>SUM(AC11:AC14)</f>
        <v>16874696603</v>
      </c>
      <c r="AD10" s="63">
        <f t="shared" si="6"/>
        <v>42.111769345497386</v>
      </c>
      <c r="AE10" s="8">
        <f>SUM(AG10-AC10)</f>
        <v>16987105098</v>
      </c>
      <c r="AF10" s="63">
        <f t="shared" si="8"/>
        <v>42.392291166142911</v>
      </c>
      <c r="AG10" s="8">
        <f>SUM(AG11:AG14)</f>
        <v>33861801701</v>
      </c>
      <c r="AH10" s="9">
        <f t="shared" si="7"/>
        <v>84.504060511640304</v>
      </c>
    </row>
    <row r="11" spans="1:34" x14ac:dyDescent="0.2">
      <c r="A11" s="5" t="s">
        <v>27</v>
      </c>
      <c r="B11" s="6"/>
      <c r="C11" s="58">
        <f t="shared" si="0"/>
        <v>0</v>
      </c>
      <c r="D11" s="6"/>
      <c r="E11" s="63">
        <f t="shared" si="9"/>
        <v>0</v>
      </c>
      <c r="F11" s="8">
        <f t="shared" si="10"/>
        <v>0</v>
      </c>
      <c r="G11" s="63">
        <f t="shared" si="11"/>
        <v>0</v>
      </c>
      <c r="H11" s="6"/>
      <c r="I11" s="9">
        <f t="shared" si="12"/>
        <v>0</v>
      </c>
      <c r="J11" s="6"/>
      <c r="K11" s="58">
        <f t="shared" si="1"/>
        <v>0</v>
      </c>
      <c r="L11" s="6"/>
      <c r="M11" s="63">
        <f t="shared" si="13"/>
        <v>0</v>
      </c>
      <c r="N11" s="8">
        <f t="shared" si="2"/>
        <v>0</v>
      </c>
      <c r="O11" s="63">
        <f t="shared" si="14"/>
        <v>0</v>
      </c>
      <c r="P11" s="6"/>
      <c r="Q11" s="9">
        <f t="shared" si="15"/>
        <v>0</v>
      </c>
      <c r="R11" s="6">
        <f>SUM([11]hcor!$F$88)</f>
        <v>32531212550</v>
      </c>
      <c r="S11" s="58">
        <f t="shared" si="3"/>
        <v>4.2967612912755087</v>
      </c>
      <c r="T11" s="6">
        <f>SUM([11]hcor!$M$88)</f>
        <v>13572460177</v>
      </c>
      <c r="U11" s="63">
        <f t="shared" si="16"/>
        <v>41.721347324940091</v>
      </c>
      <c r="V11" s="8">
        <f t="shared" si="4"/>
        <v>14310709854</v>
      </c>
      <c r="W11" s="63">
        <f t="shared" si="17"/>
        <v>43.990705332623698</v>
      </c>
      <c r="X11" s="6">
        <f>SUM([11]hcor!$J$88)</f>
        <v>27883170031</v>
      </c>
      <c r="Y11" s="9">
        <f t="shared" si="18"/>
        <v>85.712052657563788</v>
      </c>
      <c r="Z11" s="6">
        <f>SUM([11]hcor!$D$87)</f>
        <v>32542233000</v>
      </c>
      <c r="AA11" s="62">
        <f t="shared" ref="AA11:AA49" si="19">SUM(B11+J11+R11)</f>
        <v>32531212550</v>
      </c>
      <c r="AB11" s="63">
        <f t="shared" si="5"/>
        <v>0.28746366011968283</v>
      </c>
      <c r="AC11" s="8">
        <f t="shared" ref="AC11:AC28" si="20">SUM(D11+L11+T11)</f>
        <v>13572460177</v>
      </c>
      <c r="AD11" s="63">
        <f t="shared" si="6"/>
        <v>41.721347324940091</v>
      </c>
      <c r="AE11" s="8">
        <f t="shared" ref="AE11:AE28" si="21">SUM(F11+N11+V11)</f>
        <v>14310709854</v>
      </c>
      <c r="AF11" s="63">
        <f t="shared" si="8"/>
        <v>43.990705332623698</v>
      </c>
      <c r="AG11" s="8">
        <f t="shared" ref="AG11:AG28" si="22">SUM(AC11+AE11)</f>
        <v>27883170031</v>
      </c>
      <c r="AH11" s="9">
        <f t="shared" si="7"/>
        <v>85.712052657563788</v>
      </c>
    </row>
    <row r="12" spans="1:34" x14ac:dyDescent="0.2">
      <c r="A12" s="5" t="s">
        <v>28</v>
      </c>
      <c r="B12" s="6"/>
      <c r="C12" s="58">
        <f t="shared" si="0"/>
        <v>0</v>
      </c>
      <c r="D12" s="6"/>
      <c r="E12" s="63">
        <f t="shared" si="9"/>
        <v>0</v>
      </c>
      <c r="F12" s="8">
        <f t="shared" si="10"/>
        <v>0</v>
      </c>
      <c r="G12" s="63">
        <f t="shared" si="11"/>
        <v>0</v>
      </c>
      <c r="H12" s="6"/>
      <c r="I12" s="9">
        <f t="shared" si="12"/>
        <v>0</v>
      </c>
      <c r="J12" s="6"/>
      <c r="K12" s="58">
        <f t="shared" si="1"/>
        <v>0</v>
      </c>
      <c r="L12" s="6"/>
      <c r="M12" s="63">
        <f t="shared" si="13"/>
        <v>0</v>
      </c>
      <c r="N12" s="8">
        <f t="shared" si="2"/>
        <v>0</v>
      </c>
      <c r="O12" s="63">
        <f t="shared" si="14"/>
        <v>0</v>
      </c>
      <c r="P12" s="6"/>
      <c r="Q12" s="9">
        <f t="shared" si="15"/>
        <v>0</v>
      </c>
      <c r="R12" s="6"/>
      <c r="S12" s="58">
        <f t="shared" si="3"/>
        <v>0</v>
      </c>
      <c r="T12" s="6"/>
      <c r="U12" s="63">
        <f t="shared" si="16"/>
        <v>0</v>
      </c>
      <c r="V12" s="8">
        <f t="shared" si="4"/>
        <v>0</v>
      </c>
      <c r="W12" s="63">
        <f t="shared" si="17"/>
        <v>0</v>
      </c>
      <c r="X12" s="6"/>
      <c r="Y12" s="9">
        <f t="shared" si="18"/>
        <v>0</v>
      </c>
      <c r="Z12" s="6"/>
      <c r="AA12" s="62">
        <f t="shared" si="19"/>
        <v>0</v>
      </c>
      <c r="AB12" s="63">
        <f t="shared" si="5"/>
        <v>0</v>
      </c>
      <c r="AC12" s="8">
        <f t="shared" si="20"/>
        <v>0</v>
      </c>
      <c r="AD12" s="63">
        <f t="shared" si="6"/>
        <v>0</v>
      </c>
      <c r="AE12" s="8">
        <f t="shared" si="21"/>
        <v>0</v>
      </c>
      <c r="AF12" s="63">
        <f t="shared" si="8"/>
        <v>0</v>
      </c>
      <c r="AG12" s="8">
        <f t="shared" si="22"/>
        <v>0</v>
      </c>
      <c r="AH12" s="9">
        <f t="shared" si="7"/>
        <v>0</v>
      </c>
    </row>
    <row r="13" spans="1:34" x14ac:dyDescent="0.2">
      <c r="A13" s="5" t="s">
        <v>110</v>
      </c>
      <c r="B13" s="6"/>
      <c r="C13" s="58">
        <f t="shared" si="0"/>
        <v>0</v>
      </c>
      <c r="D13" s="6"/>
      <c r="E13" s="63">
        <f t="shared" si="9"/>
        <v>0</v>
      </c>
      <c r="F13" s="8">
        <f t="shared" si="10"/>
        <v>0</v>
      </c>
      <c r="G13" s="63">
        <f t="shared" si="11"/>
        <v>0</v>
      </c>
      <c r="H13" s="6"/>
      <c r="I13" s="9">
        <f t="shared" si="12"/>
        <v>0</v>
      </c>
      <c r="J13" s="6"/>
      <c r="K13" s="58">
        <f t="shared" si="1"/>
        <v>0</v>
      </c>
      <c r="L13" s="6"/>
      <c r="M13" s="63">
        <f t="shared" si="13"/>
        <v>0</v>
      </c>
      <c r="N13" s="8">
        <f t="shared" si="2"/>
        <v>0</v>
      </c>
      <c r="O13" s="63">
        <f t="shared" si="14"/>
        <v>0</v>
      </c>
      <c r="P13" s="6"/>
      <c r="Q13" s="9">
        <f t="shared" si="15"/>
        <v>0</v>
      </c>
      <c r="R13" s="6"/>
      <c r="S13" s="58">
        <f t="shared" si="3"/>
        <v>0</v>
      </c>
      <c r="T13" s="6"/>
      <c r="U13" s="63">
        <f t="shared" si="16"/>
        <v>0</v>
      </c>
      <c r="V13" s="8">
        <f t="shared" si="4"/>
        <v>0</v>
      </c>
      <c r="W13" s="63">
        <f t="shared" si="17"/>
        <v>0</v>
      </c>
      <c r="X13" s="6"/>
      <c r="Y13" s="9">
        <f t="shared" si="18"/>
        <v>0</v>
      </c>
      <c r="Z13" s="6"/>
      <c r="AA13" s="62">
        <f t="shared" si="19"/>
        <v>0</v>
      </c>
      <c r="AB13" s="63">
        <f t="shared" si="5"/>
        <v>0</v>
      </c>
      <c r="AC13" s="8">
        <f t="shared" si="20"/>
        <v>0</v>
      </c>
      <c r="AD13" s="63">
        <f t="shared" si="6"/>
        <v>0</v>
      </c>
      <c r="AE13" s="8">
        <f t="shared" si="21"/>
        <v>0</v>
      </c>
      <c r="AF13" s="63">
        <f t="shared" si="8"/>
        <v>0</v>
      </c>
      <c r="AG13" s="8">
        <f t="shared" si="22"/>
        <v>0</v>
      </c>
      <c r="AH13" s="9">
        <f t="shared" si="7"/>
        <v>0</v>
      </c>
    </row>
    <row r="14" spans="1:34" x14ac:dyDescent="0.2">
      <c r="A14" s="5" t="s">
        <v>30</v>
      </c>
      <c r="B14" s="6"/>
      <c r="C14" s="58">
        <f t="shared" si="0"/>
        <v>0</v>
      </c>
      <c r="D14" s="6"/>
      <c r="E14" s="63">
        <f t="shared" si="9"/>
        <v>0</v>
      </c>
      <c r="F14" s="8">
        <f t="shared" si="10"/>
        <v>0</v>
      </c>
      <c r="G14" s="63">
        <f t="shared" si="11"/>
        <v>0</v>
      </c>
      <c r="H14" s="6"/>
      <c r="I14" s="9">
        <f t="shared" si="12"/>
        <v>0</v>
      </c>
      <c r="J14" s="6"/>
      <c r="K14" s="58">
        <f t="shared" si="1"/>
        <v>0</v>
      </c>
      <c r="L14" s="6"/>
      <c r="M14" s="63">
        <f t="shared" si="13"/>
        <v>0</v>
      </c>
      <c r="N14" s="8">
        <f t="shared" si="2"/>
        <v>0</v>
      </c>
      <c r="O14" s="63">
        <f t="shared" si="14"/>
        <v>0</v>
      </c>
      <c r="P14" s="6"/>
      <c r="Q14" s="9">
        <f t="shared" si="15"/>
        <v>0</v>
      </c>
      <c r="R14" s="6">
        <f>SUM([11]hcta!$F$49)</f>
        <v>7540000000</v>
      </c>
      <c r="S14" s="58">
        <f t="shared" si="3"/>
        <v>0.99589217851694667</v>
      </c>
      <c r="T14" s="6">
        <f>SUM([11]hcta!$M$49)</f>
        <v>3302236426</v>
      </c>
      <c r="U14" s="63">
        <f t="shared" si="16"/>
        <v>43.796239071618039</v>
      </c>
      <c r="V14" s="8">
        <f t="shared" si="4"/>
        <v>2676395244</v>
      </c>
      <c r="W14" s="63">
        <f t="shared" si="17"/>
        <v>35.495958143236074</v>
      </c>
      <c r="X14" s="6">
        <f>SUM([11]hcta!$J$49)</f>
        <v>5978631670</v>
      </c>
      <c r="Y14" s="9">
        <f t="shared" si="18"/>
        <v>79.292197214854113</v>
      </c>
      <c r="Z14" s="6">
        <f>SUM([11]hcta!$D$48)</f>
        <v>7540000000</v>
      </c>
      <c r="AA14" s="62">
        <f t="shared" si="19"/>
        <v>7540000000</v>
      </c>
      <c r="AB14" s="63">
        <f t="shared" si="5"/>
        <v>6.6627580941565873E-2</v>
      </c>
      <c r="AC14" s="8">
        <f t="shared" si="20"/>
        <v>3302236426</v>
      </c>
      <c r="AD14" s="63">
        <f t="shared" si="6"/>
        <v>43.796239071618039</v>
      </c>
      <c r="AE14" s="8">
        <f t="shared" si="21"/>
        <v>2676395244</v>
      </c>
      <c r="AF14" s="63">
        <f t="shared" si="8"/>
        <v>35.495958143236074</v>
      </c>
      <c r="AG14" s="8">
        <f t="shared" si="22"/>
        <v>5978631670</v>
      </c>
      <c r="AH14" s="9">
        <f t="shared" si="7"/>
        <v>79.292197214854113</v>
      </c>
    </row>
    <row r="15" spans="1:34" x14ac:dyDescent="0.2">
      <c r="A15" s="5" t="s">
        <v>31</v>
      </c>
      <c r="B15" s="6">
        <f>SUM([11]edu!$F$76)</f>
        <v>2825239780976</v>
      </c>
      <c r="C15" s="58">
        <f t="shared" si="0"/>
        <v>42.398926704554874</v>
      </c>
      <c r="D15" s="6">
        <f>SUM([11]edu!$M$76)</f>
        <v>2225272472022</v>
      </c>
      <c r="E15" s="63">
        <f t="shared" si="9"/>
        <v>78.764021624149123</v>
      </c>
      <c r="F15" s="8">
        <f t="shared" si="10"/>
        <v>272874804049</v>
      </c>
      <c r="G15" s="63">
        <f t="shared" si="11"/>
        <v>9.6584653057211796</v>
      </c>
      <c r="H15" s="6">
        <f>SUM([11]edu!$J$76)</f>
        <v>2498147276071</v>
      </c>
      <c r="I15" s="9">
        <f t="shared" si="12"/>
        <v>88.422486929870303</v>
      </c>
      <c r="J15" s="6"/>
      <c r="K15" s="58">
        <f t="shared" si="1"/>
        <v>0</v>
      </c>
      <c r="L15" s="6"/>
      <c r="M15" s="63">
        <f t="shared" si="13"/>
        <v>0</v>
      </c>
      <c r="N15" s="8">
        <f t="shared" si="2"/>
        <v>0</v>
      </c>
      <c r="O15" s="63">
        <f t="shared" si="14"/>
        <v>0</v>
      </c>
      <c r="P15" s="6"/>
      <c r="Q15" s="9">
        <f t="shared" si="15"/>
        <v>0</v>
      </c>
      <c r="R15" s="6">
        <f>SUM([11]edu!$F$113)</f>
        <v>437799333</v>
      </c>
      <c r="S15" s="58">
        <f t="shared" si="3"/>
        <v>5.7825057227405323E-2</v>
      </c>
      <c r="T15" s="6">
        <f>SUM([11]edu!$M$113)</f>
        <v>175574047</v>
      </c>
      <c r="U15" s="63">
        <f t="shared" si="16"/>
        <v>40.103772154445011</v>
      </c>
      <c r="V15" s="8">
        <f t="shared" si="4"/>
        <v>262225286</v>
      </c>
      <c r="W15" s="63">
        <f t="shared" si="17"/>
        <v>59.896227845554982</v>
      </c>
      <c r="X15" s="6">
        <f>SUM([11]edu!$J$113)</f>
        <v>437799333</v>
      </c>
      <c r="Y15" s="9">
        <f t="shared" si="18"/>
        <v>100</v>
      </c>
      <c r="Z15" s="6">
        <f>SUM([11]edu!$D$75)</f>
        <v>2831124526000</v>
      </c>
      <c r="AA15" s="62">
        <f t="shared" si="19"/>
        <v>2825677580309</v>
      </c>
      <c r="AB15" s="63">
        <f t="shared" si="5"/>
        <v>24.96923895183102</v>
      </c>
      <c r="AC15" s="8">
        <f t="shared" si="20"/>
        <v>2225448046069</v>
      </c>
      <c r="AD15" s="63">
        <f t="shared" si="6"/>
        <v>78.758031757665634</v>
      </c>
      <c r="AE15" s="8">
        <f t="shared" si="21"/>
        <v>273137029335</v>
      </c>
      <c r="AF15" s="63">
        <f t="shared" si="8"/>
        <v>9.6662489463901</v>
      </c>
      <c r="AG15" s="8">
        <f t="shared" si="22"/>
        <v>2498585075404</v>
      </c>
      <c r="AH15" s="9">
        <f t="shared" si="7"/>
        <v>88.424280704055732</v>
      </c>
    </row>
    <row r="16" spans="1:34" ht="25.5" x14ac:dyDescent="0.2">
      <c r="A16" s="5" t="s">
        <v>32</v>
      </c>
      <c r="B16" s="6"/>
      <c r="C16" s="58">
        <f t="shared" si="0"/>
        <v>0</v>
      </c>
      <c r="D16" s="6"/>
      <c r="E16" s="63">
        <f t="shared" si="9"/>
        <v>0</v>
      </c>
      <c r="F16" s="8">
        <f t="shared" si="10"/>
        <v>0</v>
      </c>
      <c r="G16" s="63">
        <f t="shared" si="11"/>
        <v>0</v>
      </c>
      <c r="H16" s="6"/>
      <c r="I16" s="9">
        <f t="shared" si="12"/>
        <v>0</v>
      </c>
      <c r="J16" s="6">
        <f>SUM([11]mov!$F$76)</f>
        <v>37342062000</v>
      </c>
      <c r="K16" s="58">
        <f t="shared" si="1"/>
        <v>0</v>
      </c>
      <c r="L16" s="6">
        <f>SUM([11]mov!$M$76)</f>
        <v>12358295441.959999</v>
      </c>
      <c r="M16" s="63">
        <f t="shared" si="13"/>
        <v>33.09483938503449</v>
      </c>
      <c r="N16" s="8">
        <f t="shared" si="2"/>
        <v>15837394989.040001</v>
      </c>
      <c r="O16" s="63">
        <f t="shared" si="14"/>
        <v>42.411677718921901</v>
      </c>
      <c r="P16" s="6">
        <f>SUM([11]mov!$J$76)</f>
        <v>28195690431</v>
      </c>
      <c r="Q16" s="9">
        <f t="shared" si="15"/>
        <v>75.506517103956398</v>
      </c>
      <c r="R16" s="6">
        <f>SUM([11]mov!$F$90)</f>
        <v>23970837000</v>
      </c>
      <c r="S16" s="58">
        <f t="shared" si="3"/>
        <v>3.1660966950669271</v>
      </c>
      <c r="T16" s="6">
        <f>SUM([11]mov!$M$90)</f>
        <v>11532642513</v>
      </c>
      <c r="U16" s="63">
        <f t="shared" si="16"/>
        <v>48.111138184286176</v>
      </c>
      <c r="V16" s="8">
        <f t="shared" si="4"/>
        <v>6494067973</v>
      </c>
      <c r="W16" s="63">
        <f t="shared" si="17"/>
        <v>27.091536157039492</v>
      </c>
      <c r="X16" s="6">
        <f>SUM([11]mov!$J$90)</f>
        <v>18026710486</v>
      </c>
      <c r="Y16" s="9">
        <f t="shared" si="18"/>
        <v>75.202674341325675</v>
      </c>
      <c r="Z16" s="6">
        <f>SUM([11]mov!$D$75)</f>
        <v>62812899000</v>
      </c>
      <c r="AA16" s="62">
        <f t="shared" si="19"/>
        <v>61312899000</v>
      </c>
      <c r="AB16" s="63">
        <f t="shared" si="5"/>
        <v>0.54179444839317681</v>
      </c>
      <c r="AC16" s="8">
        <f t="shared" si="20"/>
        <v>23890937954.959999</v>
      </c>
      <c r="AD16" s="63">
        <f t="shared" si="6"/>
        <v>38.965598340016513</v>
      </c>
      <c r="AE16" s="8">
        <f t="shared" si="21"/>
        <v>22331462962.040001</v>
      </c>
      <c r="AF16" s="63">
        <f t="shared" si="8"/>
        <v>36.422128665030179</v>
      </c>
      <c r="AG16" s="8">
        <f t="shared" si="22"/>
        <v>46222400917</v>
      </c>
      <c r="AH16" s="9">
        <f t="shared" si="7"/>
        <v>75.387727005046685</v>
      </c>
    </row>
    <row r="17" spans="1:34" ht="25.5" x14ac:dyDescent="0.2">
      <c r="A17" s="5" t="s">
        <v>33</v>
      </c>
      <c r="B17" s="6"/>
      <c r="C17" s="58">
        <f t="shared" si="0"/>
        <v>0</v>
      </c>
      <c r="D17" s="6"/>
      <c r="E17" s="63">
        <f t="shared" si="9"/>
        <v>0</v>
      </c>
      <c r="F17" s="8">
        <f t="shared" si="10"/>
        <v>0</v>
      </c>
      <c r="G17" s="63">
        <f t="shared" si="11"/>
        <v>0</v>
      </c>
      <c r="H17" s="6"/>
      <c r="I17" s="9">
        <f t="shared" si="12"/>
        <v>0</v>
      </c>
      <c r="J17" s="6">
        <f>SUM([11]mott!$F$10)</f>
        <v>113243232000</v>
      </c>
      <c r="K17" s="58">
        <f t="shared" si="1"/>
        <v>0</v>
      </c>
      <c r="L17" s="6">
        <f>SUM([11]mott!$M$10)</f>
        <v>52234818823</v>
      </c>
      <c r="M17" s="63">
        <f t="shared" si="13"/>
        <v>46.126216905395282</v>
      </c>
      <c r="N17" s="8">
        <f t="shared" si="2"/>
        <v>49304748534</v>
      </c>
      <c r="O17" s="63">
        <f t="shared" si="14"/>
        <v>43.538803744138988</v>
      </c>
      <c r="P17" s="6">
        <f>SUM([11]mott!$J$10)</f>
        <v>101539567357</v>
      </c>
      <c r="Q17" s="9">
        <f t="shared" si="15"/>
        <v>89.66502064953427</v>
      </c>
      <c r="R17" s="6"/>
      <c r="S17" s="58">
        <f t="shared" si="3"/>
        <v>0</v>
      </c>
      <c r="T17" s="6"/>
      <c r="U17" s="63">
        <f t="shared" si="16"/>
        <v>0</v>
      </c>
      <c r="V17" s="8">
        <f t="shared" si="4"/>
        <v>0</v>
      </c>
      <c r="W17" s="63">
        <f t="shared" si="17"/>
        <v>0</v>
      </c>
      <c r="X17" s="6"/>
      <c r="Y17" s="9">
        <f t="shared" si="18"/>
        <v>0</v>
      </c>
      <c r="Z17" s="6">
        <f>SUM([11]mott!$D$10)</f>
        <v>111743232000</v>
      </c>
      <c r="AA17" s="62">
        <f t="shared" si="19"/>
        <v>113243232000</v>
      </c>
      <c r="AB17" s="63">
        <f t="shared" si="5"/>
        <v>1.0006793907380005</v>
      </c>
      <c r="AC17" s="8">
        <f t="shared" si="20"/>
        <v>52234818823</v>
      </c>
      <c r="AD17" s="63">
        <f t="shared" si="6"/>
        <v>46.126216905395282</v>
      </c>
      <c r="AE17" s="8">
        <f t="shared" si="21"/>
        <v>49304748534</v>
      </c>
      <c r="AF17" s="63">
        <f t="shared" si="8"/>
        <v>43.538803744138988</v>
      </c>
      <c r="AG17" s="8">
        <f t="shared" si="22"/>
        <v>101539567357</v>
      </c>
      <c r="AH17" s="9">
        <f t="shared" si="7"/>
        <v>89.66502064953427</v>
      </c>
    </row>
    <row r="18" spans="1:34" x14ac:dyDescent="0.2">
      <c r="A18" s="5" t="s">
        <v>34</v>
      </c>
      <c r="B18" s="6"/>
      <c r="C18" s="58">
        <f t="shared" si="0"/>
        <v>0</v>
      </c>
      <c r="D18" s="6"/>
      <c r="E18" s="63">
        <f t="shared" si="9"/>
        <v>0</v>
      </c>
      <c r="F18" s="8">
        <f t="shared" si="10"/>
        <v>0</v>
      </c>
      <c r="G18" s="63">
        <f t="shared" si="11"/>
        <v>0</v>
      </c>
      <c r="H18" s="6"/>
      <c r="I18" s="9">
        <f t="shared" si="12"/>
        <v>0</v>
      </c>
      <c r="J18" s="6"/>
      <c r="K18" s="58">
        <f t="shared" si="1"/>
        <v>0</v>
      </c>
      <c r="L18" s="6"/>
      <c r="M18" s="63">
        <f t="shared" si="13"/>
        <v>0</v>
      </c>
      <c r="N18" s="8">
        <f t="shared" si="2"/>
        <v>0</v>
      </c>
      <c r="O18" s="63">
        <f t="shared" si="14"/>
        <v>0</v>
      </c>
      <c r="P18" s="6"/>
      <c r="Q18" s="9">
        <f t="shared" si="15"/>
        <v>0</v>
      </c>
      <c r="R18" s="6"/>
      <c r="S18" s="58">
        <f t="shared" si="3"/>
        <v>0</v>
      </c>
      <c r="T18" s="6"/>
      <c r="U18" s="63">
        <f t="shared" si="16"/>
        <v>0</v>
      </c>
      <c r="V18" s="8">
        <f t="shared" si="4"/>
        <v>0</v>
      </c>
      <c r="W18" s="63">
        <f t="shared" si="17"/>
        <v>0</v>
      </c>
      <c r="X18" s="6"/>
      <c r="Y18" s="9">
        <f t="shared" si="18"/>
        <v>0</v>
      </c>
      <c r="Z18" s="6"/>
      <c r="AA18" s="62">
        <f t="shared" si="19"/>
        <v>0</v>
      </c>
      <c r="AB18" s="63">
        <f t="shared" si="5"/>
        <v>0</v>
      </c>
      <c r="AC18" s="8">
        <f t="shared" si="20"/>
        <v>0</v>
      </c>
      <c r="AD18" s="63">
        <f t="shared" si="6"/>
        <v>0</v>
      </c>
      <c r="AE18" s="8">
        <f t="shared" si="21"/>
        <v>0</v>
      </c>
      <c r="AF18" s="63">
        <f t="shared" si="8"/>
        <v>0</v>
      </c>
      <c r="AG18" s="8">
        <f t="shared" si="22"/>
        <v>0</v>
      </c>
      <c r="AH18" s="9">
        <f t="shared" si="7"/>
        <v>0</v>
      </c>
    </row>
    <row r="19" spans="1:34" x14ac:dyDescent="0.2">
      <c r="A19" s="5" t="s">
        <v>35</v>
      </c>
      <c r="B19" s="6">
        <f>SUM([11]dllo!$F$70)</f>
        <v>35625642879</v>
      </c>
      <c r="C19" s="58">
        <f t="shared" si="0"/>
        <v>0.53464099981898128</v>
      </c>
      <c r="D19" s="6">
        <f>SUM([11]dllo!$M$70)</f>
        <v>28976228414</v>
      </c>
      <c r="E19" s="63">
        <f t="shared" si="9"/>
        <v>81.335313758170571</v>
      </c>
      <c r="F19" s="8">
        <f t="shared" si="10"/>
        <v>6649387190</v>
      </c>
      <c r="G19" s="63">
        <f t="shared" si="11"/>
        <v>18.664609681807505</v>
      </c>
      <c r="H19" s="6">
        <f>SUM([11]dllo!$J$70)</f>
        <v>35625615604</v>
      </c>
      <c r="I19" s="9">
        <f t="shared" si="12"/>
        <v>99.999923439978076</v>
      </c>
      <c r="J19" s="6"/>
      <c r="K19" s="58">
        <f t="shared" si="1"/>
        <v>0</v>
      </c>
      <c r="L19" s="6"/>
      <c r="M19" s="63">
        <f t="shared" si="13"/>
        <v>0</v>
      </c>
      <c r="N19" s="8">
        <f t="shared" si="2"/>
        <v>0</v>
      </c>
      <c r="O19" s="63">
        <f t="shared" si="14"/>
        <v>0</v>
      </c>
      <c r="P19" s="6"/>
      <c r="Q19" s="9">
        <f t="shared" si="15"/>
        <v>0</v>
      </c>
      <c r="R19" s="6">
        <f>SUM([11]dllo!$F$94)</f>
        <v>7694357121</v>
      </c>
      <c r="S19" s="58">
        <f t="shared" si="3"/>
        <v>1.0162798508647308</v>
      </c>
      <c r="T19" s="6">
        <f>SUM([11]dllo!$M$94)</f>
        <v>6365756058</v>
      </c>
      <c r="U19" s="63">
        <f t="shared" si="16"/>
        <v>82.732786610932251</v>
      </c>
      <c r="V19" s="8">
        <f t="shared" si="4"/>
        <v>1328601063</v>
      </c>
      <c r="W19" s="63">
        <f t="shared" si="17"/>
        <v>17.267213389067752</v>
      </c>
      <c r="X19" s="6">
        <f>SUM([11]dllo!$J$94)</f>
        <v>7694357121</v>
      </c>
      <c r="Y19" s="9">
        <f t="shared" si="18"/>
        <v>100</v>
      </c>
      <c r="Z19" s="6">
        <f>SUM([11]dllo!$D$69)</f>
        <v>43320000000</v>
      </c>
      <c r="AA19" s="62">
        <f t="shared" si="19"/>
        <v>43320000000</v>
      </c>
      <c r="AB19" s="63">
        <f t="shared" si="5"/>
        <v>0.38279931119212646</v>
      </c>
      <c r="AC19" s="8">
        <f t="shared" si="20"/>
        <v>35341984472</v>
      </c>
      <c r="AD19" s="63">
        <f t="shared" si="6"/>
        <v>81.583528328716525</v>
      </c>
      <c r="AE19" s="8">
        <f t="shared" si="21"/>
        <v>7977988253</v>
      </c>
      <c r="AF19" s="63">
        <f t="shared" si="8"/>
        <v>18.416408709602955</v>
      </c>
      <c r="AG19" s="8">
        <f t="shared" si="22"/>
        <v>43319972725</v>
      </c>
      <c r="AH19" s="9">
        <f t="shared" si="7"/>
        <v>99.999937038319487</v>
      </c>
    </row>
    <row r="20" spans="1:34" x14ac:dyDescent="0.2">
      <c r="A20" s="5" t="s">
        <v>36</v>
      </c>
      <c r="B20" s="6">
        <f>SUM([11]hab!$F$78)</f>
        <v>149785248500</v>
      </c>
      <c r="C20" s="58">
        <f t="shared" si="0"/>
        <v>2.2478565590567783</v>
      </c>
      <c r="D20" s="6">
        <f>SUM([11]hab!$M$78)</f>
        <v>119753655972</v>
      </c>
      <c r="E20" s="63">
        <f t="shared" si="9"/>
        <v>79.950233531842088</v>
      </c>
      <c r="F20" s="8">
        <f t="shared" si="10"/>
        <v>28921946989</v>
      </c>
      <c r="G20" s="63">
        <f t="shared" si="11"/>
        <v>19.308942154607433</v>
      </c>
      <c r="H20" s="6">
        <f>SUM([11]hab!$J$78)</f>
        <v>148675602961</v>
      </c>
      <c r="I20" s="9">
        <f t="shared" si="12"/>
        <v>99.259175686449524</v>
      </c>
      <c r="J20" s="6">
        <f>SUM([11]hab!$F$94)</f>
        <v>8226666467</v>
      </c>
      <c r="K20" s="58">
        <f t="shared" si="1"/>
        <v>0</v>
      </c>
      <c r="L20" s="6">
        <f>SUM([11]hab!$M$94)</f>
        <v>6461448715</v>
      </c>
      <c r="M20" s="63">
        <f t="shared" si="13"/>
        <v>78.542733450044466</v>
      </c>
      <c r="N20" s="8">
        <f t="shared" si="2"/>
        <v>777649300</v>
      </c>
      <c r="O20" s="63">
        <f t="shared" si="14"/>
        <v>9.452787506572923</v>
      </c>
      <c r="P20" s="6">
        <f>SUM([11]hab!$J$94)</f>
        <v>7239098015</v>
      </c>
      <c r="Q20" s="9">
        <f t="shared" si="15"/>
        <v>87.995520956617383</v>
      </c>
      <c r="R20" s="6">
        <f>SUM([11]hab!$F$103)</f>
        <v>6710873503</v>
      </c>
      <c r="S20" s="58">
        <f t="shared" si="3"/>
        <v>0.88638016348200566</v>
      </c>
      <c r="T20" s="6">
        <f>SUM([11]hab!$M$103)</f>
        <v>5144261748</v>
      </c>
      <c r="U20" s="63">
        <f t="shared" si="16"/>
        <v>76.655620847276168</v>
      </c>
      <c r="V20" s="8">
        <f t="shared" si="4"/>
        <v>1304517751</v>
      </c>
      <c r="W20" s="63">
        <f t="shared" si="17"/>
        <v>19.438866645554175</v>
      </c>
      <c r="X20" s="6">
        <f>SUM([11]hab!$J$103)</f>
        <v>6448779499</v>
      </c>
      <c r="Y20" s="9">
        <f t="shared" si="18"/>
        <v>96.094487492830339</v>
      </c>
      <c r="Z20" s="6">
        <f>SUM([11]hab!$D$77)</f>
        <v>172432696000</v>
      </c>
      <c r="AA20" s="62">
        <f t="shared" si="19"/>
        <v>164722788470</v>
      </c>
      <c r="AB20" s="63">
        <f t="shared" si="5"/>
        <v>1.4555810240988538</v>
      </c>
      <c r="AC20" s="8">
        <f t="shared" si="20"/>
        <v>131359366435</v>
      </c>
      <c r="AD20" s="63">
        <f t="shared" si="6"/>
        <v>79.745715608088858</v>
      </c>
      <c r="AE20" s="8">
        <f t="shared" si="21"/>
        <v>31004114040</v>
      </c>
      <c r="AF20" s="63">
        <f t="shared" si="8"/>
        <v>18.821994411323725</v>
      </c>
      <c r="AG20" s="8">
        <f t="shared" si="22"/>
        <v>162363480475</v>
      </c>
      <c r="AH20" s="9">
        <f t="shared" si="7"/>
        <v>98.567710019412587</v>
      </c>
    </row>
    <row r="21" spans="1:34" x14ac:dyDescent="0.2">
      <c r="A21" s="5" t="s">
        <v>37</v>
      </c>
      <c r="B21" s="6">
        <f>SUM([11]cul!$F$75)</f>
        <v>46474064204</v>
      </c>
      <c r="C21" s="58">
        <f t="shared" si="0"/>
        <v>0.69744538326140471</v>
      </c>
      <c r="D21" s="6">
        <f>SUM([11]cul!$M$75)</f>
        <v>36931919449</v>
      </c>
      <c r="E21" s="63">
        <f t="shared" si="9"/>
        <v>79.467806574621221</v>
      </c>
      <c r="F21" s="8">
        <f t="shared" si="10"/>
        <v>1436745614</v>
      </c>
      <c r="G21" s="63">
        <f t="shared" si="11"/>
        <v>3.0914998259961521</v>
      </c>
      <c r="H21" s="6">
        <f>SUM([11]cul!$J$75)</f>
        <v>38368665063</v>
      </c>
      <c r="I21" s="9">
        <f t="shared" si="12"/>
        <v>82.559306400617373</v>
      </c>
      <c r="J21" s="6"/>
      <c r="K21" s="58">
        <f t="shared" si="1"/>
        <v>0</v>
      </c>
      <c r="L21" s="6"/>
      <c r="M21" s="63">
        <f t="shared" si="13"/>
        <v>0</v>
      </c>
      <c r="N21" s="8">
        <f t="shared" si="2"/>
        <v>0</v>
      </c>
      <c r="O21" s="63">
        <f t="shared" si="14"/>
        <v>0</v>
      </c>
      <c r="P21" s="6"/>
      <c r="Q21" s="9">
        <f t="shared" si="15"/>
        <v>0</v>
      </c>
      <c r="R21" s="6">
        <f>SUM([11]cul!$F$97)</f>
        <v>6743789796</v>
      </c>
      <c r="S21" s="58">
        <f t="shared" si="3"/>
        <v>0.89072778665766505</v>
      </c>
      <c r="T21" s="6">
        <f>SUM([11]cul!$M$97)</f>
        <v>6341680641</v>
      </c>
      <c r="U21" s="63">
        <f t="shared" si="16"/>
        <v>94.037341507315276</v>
      </c>
      <c r="V21" s="8">
        <f t="shared" si="4"/>
        <v>384367018</v>
      </c>
      <c r="W21" s="63">
        <f t="shared" si="17"/>
        <v>5.6995699692179436</v>
      </c>
      <c r="X21" s="6">
        <f>SUM([11]cul!$J$97)</f>
        <v>6726047659</v>
      </c>
      <c r="Y21" s="9">
        <f t="shared" si="18"/>
        <v>99.736911476533223</v>
      </c>
      <c r="Z21" s="6">
        <f>SUM([11]cul!$D$74)</f>
        <v>54117854000</v>
      </c>
      <c r="AA21" s="62">
        <f t="shared" si="19"/>
        <v>53217854000</v>
      </c>
      <c r="AB21" s="63">
        <f t="shared" si="5"/>
        <v>0.47026218500284284</v>
      </c>
      <c r="AC21" s="8">
        <f t="shared" si="20"/>
        <v>43273600090</v>
      </c>
      <c r="AD21" s="63">
        <f t="shared" si="6"/>
        <v>81.314064430331968</v>
      </c>
      <c r="AE21" s="8">
        <f t="shared" si="21"/>
        <v>1821112632</v>
      </c>
      <c r="AF21" s="63">
        <f t="shared" si="8"/>
        <v>3.4219956182374429</v>
      </c>
      <c r="AG21" s="8">
        <f t="shared" si="22"/>
        <v>45094712722</v>
      </c>
      <c r="AH21" s="9">
        <f t="shared" si="7"/>
        <v>84.736060048569414</v>
      </c>
    </row>
    <row r="22" spans="1:34" x14ac:dyDescent="0.2">
      <c r="A22" s="5" t="s">
        <v>38</v>
      </c>
      <c r="B22" s="6">
        <f>SUM([11]pla!$F$80)</f>
        <v>4229211000</v>
      </c>
      <c r="C22" s="58">
        <f t="shared" si="0"/>
        <v>6.3468597750365757E-2</v>
      </c>
      <c r="D22" s="6">
        <f>SUM([11]pla!$M$80)</f>
        <v>3513341905</v>
      </c>
      <c r="E22" s="63">
        <f t="shared" si="9"/>
        <v>83.073223468869244</v>
      </c>
      <c r="F22" s="8">
        <f t="shared" si="10"/>
        <v>713526755</v>
      </c>
      <c r="G22" s="63">
        <f t="shared" si="11"/>
        <v>16.871391732405879</v>
      </c>
      <c r="H22" s="6">
        <f>SUM([11]pla!$J$80)</f>
        <v>4226868660</v>
      </c>
      <c r="I22" s="9">
        <f t="shared" si="12"/>
        <v>99.944615201275127</v>
      </c>
      <c r="J22" s="6">
        <f>SUM([11]pla!$F$98)</f>
        <v>1233111000</v>
      </c>
      <c r="K22" s="58">
        <f t="shared" si="1"/>
        <v>0</v>
      </c>
      <c r="L22" s="6">
        <f>SUM([11]pla!$M$98)</f>
        <v>1197552000</v>
      </c>
      <c r="M22" s="63">
        <f t="shared" si="13"/>
        <v>97.116317995703554</v>
      </c>
      <c r="N22" s="8">
        <f t="shared" si="2"/>
        <v>21840667</v>
      </c>
      <c r="O22" s="63">
        <f t="shared" si="14"/>
        <v>1.7711841837433937</v>
      </c>
      <c r="P22" s="6">
        <f>SUM([11]pla!$J$98)</f>
        <v>1219392667</v>
      </c>
      <c r="Q22" s="9">
        <f t="shared" si="15"/>
        <v>98.88750217944694</v>
      </c>
      <c r="R22" s="6">
        <f>SUM([11]pla!$F$106)</f>
        <v>6395475440</v>
      </c>
      <c r="S22" s="58">
        <f t="shared" si="3"/>
        <v>0.84472201174976491</v>
      </c>
      <c r="T22" s="6">
        <f>SUM([11]pla!$M$106)</f>
        <v>4705678180</v>
      </c>
      <c r="U22" s="63">
        <f t="shared" si="16"/>
        <v>73.578238618018986</v>
      </c>
      <c r="V22" s="8">
        <f t="shared" si="4"/>
        <v>1218121518</v>
      </c>
      <c r="W22" s="63">
        <f t="shared" si="17"/>
        <v>19.046613960572103</v>
      </c>
      <c r="X22" s="6">
        <f>SUM([11]pla!$J$106)</f>
        <v>5923799698</v>
      </c>
      <c r="Y22" s="9">
        <f t="shared" si="18"/>
        <v>92.624852578591089</v>
      </c>
      <c r="Z22" s="6">
        <f>SUM([11]pla!$D$79)</f>
        <v>12342000000</v>
      </c>
      <c r="AA22" s="62">
        <f t="shared" si="19"/>
        <v>11857797440</v>
      </c>
      <c r="AB22" s="63">
        <f t="shared" si="5"/>
        <v>0.10478201044062235</v>
      </c>
      <c r="AC22" s="8">
        <f t="shared" si="20"/>
        <v>9416572085</v>
      </c>
      <c r="AD22" s="63">
        <f t="shared" si="6"/>
        <v>79.412488977379596</v>
      </c>
      <c r="AE22" s="8">
        <f t="shared" si="21"/>
        <v>1953488940</v>
      </c>
      <c r="AF22" s="63">
        <f t="shared" si="8"/>
        <v>16.474298451163289</v>
      </c>
      <c r="AG22" s="8">
        <f t="shared" si="22"/>
        <v>11370061025</v>
      </c>
      <c r="AH22" s="9">
        <f t="shared" si="7"/>
        <v>95.886787428542888</v>
      </c>
    </row>
    <row r="23" spans="1:34" x14ac:dyDescent="0.2">
      <c r="A23" s="5" t="s">
        <v>39</v>
      </c>
      <c r="B23" s="6">
        <f>SUM([11]int!$F$75)</f>
        <v>668827502479</v>
      </c>
      <c r="C23" s="58">
        <f t="shared" si="0"/>
        <v>10.037225316784008</v>
      </c>
      <c r="D23" s="6">
        <f>SUM([11]int!$M$75)</f>
        <v>505463449224</v>
      </c>
      <c r="E23" s="63">
        <f t="shared" si="9"/>
        <v>75.574561056551445</v>
      </c>
      <c r="F23" s="8">
        <f t="shared" si="10"/>
        <v>159203924507</v>
      </c>
      <c r="G23" s="63">
        <f t="shared" si="11"/>
        <v>23.803435701569214</v>
      </c>
      <c r="H23" s="6">
        <f>SUM([11]int!$J$75)</f>
        <v>664667373731</v>
      </c>
      <c r="I23" s="9">
        <f t="shared" si="12"/>
        <v>99.377996758120659</v>
      </c>
      <c r="J23" s="6">
        <f>SUM([11]int!$F$102)</f>
        <v>2354314000</v>
      </c>
      <c r="K23" s="58">
        <f t="shared" si="1"/>
        <v>0</v>
      </c>
      <c r="L23" s="6">
        <f>SUM([11]int!$M$102)</f>
        <v>1892094313</v>
      </c>
      <c r="M23" s="63">
        <f t="shared" si="13"/>
        <v>80.36711810744022</v>
      </c>
      <c r="N23" s="8">
        <f t="shared" si="2"/>
        <v>447217016</v>
      </c>
      <c r="O23" s="63">
        <f t="shared" si="14"/>
        <v>18.995640173740629</v>
      </c>
      <c r="P23" s="6">
        <f>SUM([11]int!$J$102)</f>
        <v>2339311329</v>
      </c>
      <c r="Q23" s="9">
        <f t="shared" si="15"/>
        <v>99.362758281180845</v>
      </c>
      <c r="R23" s="6">
        <f>SUM([11]int!$F$107)</f>
        <v>153645501208</v>
      </c>
      <c r="S23" s="58">
        <f t="shared" si="3"/>
        <v>20.293680758270991</v>
      </c>
      <c r="T23" s="6">
        <f>SUM([11]int!$M$107)</f>
        <v>138970378851</v>
      </c>
      <c r="U23" s="63">
        <f t="shared" si="16"/>
        <v>90.448713277238539</v>
      </c>
      <c r="V23" s="8">
        <f t="shared" si="4"/>
        <v>14493323738</v>
      </c>
      <c r="W23" s="63">
        <f t="shared" si="17"/>
        <v>9.4329632980138065</v>
      </c>
      <c r="X23" s="6">
        <f>SUM([11]int!$J$107)</f>
        <v>153463702589</v>
      </c>
      <c r="Y23" s="9">
        <f t="shared" si="18"/>
        <v>99.881676575252357</v>
      </c>
      <c r="Z23" s="6">
        <f>SUM([11]int!$D$74)</f>
        <v>795869509000</v>
      </c>
      <c r="AA23" s="62">
        <f t="shared" si="19"/>
        <v>824827317687</v>
      </c>
      <c r="AB23" s="63">
        <f t="shared" si="5"/>
        <v>7.2886271713534834</v>
      </c>
      <c r="AC23" s="8">
        <f t="shared" si="20"/>
        <v>646325922388</v>
      </c>
      <c r="AD23" s="63">
        <f t="shared" si="6"/>
        <v>78.358937504693984</v>
      </c>
      <c r="AE23" s="8">
        <f t="shared" si="21"/>
        <v>174144465261</v>
      </c>
      <c r="AF23" s="63">
        <f t="shared" si="8"/>
        <v>21.112839200008551</v>
      </c>
      <c r="AG23" s="8">
        <f t="shared" si="22"/>
        <v>820470387649</v>
      </c>
      <c r="AH23" s="9">
        <f t="shared" si="7"/>
        <v>99.471776704702535</v>
      </c>
    </row>
    <row r="24" spans="1:34" x14ac:dyDescent="0.2">
      <c r="A24" s="5" t="s">
        <v>394</v>
      </c>
      <c r="B24" s="6">
        <f>SUM([11]muj!$F$71)</f>
        <v>24033000000</v>
      </c>
      <c r="C24" s="58">
        <f t="shared" si="0"/>
        <v>0.36066793776298706</v>
      </c>
      <c r="D24" s="6">
        <f>SUM([11]muj!$M$71)</f>
        <v>11675459880</v>
      </c>
      <c r="E24" s="63">
        <f>IF(OR(D24=0,B24=0),0,D24/B24)*100</f>
        <v>48.580950692797401</v>
      </c>
      <c r="F24" s="8">
        <f>SUM(H24-D24)</f>
        <v>11973974308</v>
      </c>
      <c r="G24" s="63">
        <f>IF(OR(F24=0,B24=0),0,F24/B24)*100</f>
        <v>49.82305291890318</v>
      </c>
      <c r="H24" s="6">
        <f>SUM([11]muj!$J$71)</f>
        <v>23649434188</v>
      </c>
      <c r="I24" s="9">
        <f>IF(OR(H24=0,B24=0),0,H24/B24)*100</f>
        <v>98.404003611700574</v>
      </c>
      <c r="J24" s="6"/>
      <c r="K24" s="58">
        <f t="shared" si="1"/>
        <v>0</v>
      </c>
      <c r="L24" s="6"/>
      <c r="M24" s="63">
        <f>IF(OR(L24=0,J24=0),0,L24/J24)*100</f>
        <v>0</v>
      </c>
      <c r="N24" s="8">
        <f t="shared" si="2"/>
        <v>0</v>
      </c>
      <c r="O24" s="63">
        <f>IF(OR(N24=0,J24=0),0,N24/J24)*100</f>
        <v>0</v>
      </c>
      <c r="P24" s="6"/>
      <c r="Q24" s="9">
        <f>IF(OR(P24=0,J24=0),0,P24/J24)*100</f>
        <v>0</v>
      </c>
      <c r="R24" s="6">
        <f>SUM([11]muj!$F$84)</f>
        <v>50000000</v>
      </c>
      <c r="S24" s="58">
        <f t="shared" si="3"/>
        <v>6.6040595392370472E-3</v>
      </c>
      <c r="T24" s="6">
        <f>SUM([11]muj!$M$84)</f>
        <v>23833333</v>
      </c>
      <c r="U24" s="63">
        <f>IF(OR(T24=0,R24=0),0,T24/R24)*100</f>
        <v>47.666665999999999</v>
      </c>
      <c r="V24" s="8">
        <f t="shared" si="4"/>
        <v>26071667</v>
      </c>
      <c r="W24" s="63">
        <f>IF(OR(V24=0,R24=0),0,V24/R24)*100</f>
        <v>52.143333999999996</v>
      </c>
      <c r="X24" s="6">
        <f>SUM([11]muj!$J$84)</f>
        <v>49905000</v>
      </c>
      <c r="Y24" s="9">
        <f>IF(OR(X24=0,R24=0),0,X24/R24)*100</f>
        <v>99.81</v>
      </c>
      <c r="Z24" s="6">
        <f>SUM([11]muj!$D$70)</f>
        <v>24083000000</v>
      </c>
      <c r="AA24" s="62">
        <f t="shared" si="19"/>
        <v>24083000000</v>
      </c>
      <c r="AB24" s="63">
        <f t="shared" si="5"/>
        <v>0.21281061429916856</v>
      </c>
      <c r="AC24" s="8">
        <f t="shared" si="20"/>
        <v>11699293213</v>
      </c>
      <c r="AD24" s="63">
        <f>IF(OR(AC24=0,AA24=0),0,AC24/AA24)*100</f>
        <v>48.579052497612423</v>
      </c>
      <c r="AE24" s="8">
        <f t="shared" si="21"/>
        <v>12000045975</v>
      </c>
      <c r="AF24" s="63">
        <f>IF(OR(AE24=0,AA24=0),0,AE24/AA24)*100</f>
        <v>49.827870178133956</v>
      </c>
      <c r="AG24" s="8">
        <f>SUM(AC24+AE24)</f>
        <v>23699339188</v>
      </c>
      <c r="AH24" s="9">
        <f>IF(OR(AG24=0,AA24=0),0,AG24/AA24)*100</f>
        <v>98.406922675746372</v>
      </c>
    </row>
    <row r="25" spans="1:34" x14ac:dyDescent="0.2">
      <c r="A25" s="5" t="s">
        <v>40</v>
      </c>
      <c r="B25" s="6"/>
      <c r="C25" s="58">
        <f t="shared" si="0"/>
        <v>0</v>
      </c>
      <c r="D25" s="6"/>
      <c r="E25" s="63">
        <f t="shared" si="9"/>
        <v>0</v>
      </c>
      <c r="F25" s="8">
        <f t="shared" si="10"/>
        <v>0</v>
      </c>
      <c r="G25" s="63">
        <f t="shared" si="11"/>
        <v>0</v>
      </c>
      <c r="H25" s="6"/>
      <c r="I25" s="9">
        <f t="shared" si="12"/>
        <v>0</v>
      </c>
      <c r="J25" s="6"/>
      <c r="K25" s="58">
        <f t="shared" si="1"/>
        <v>0</v>
      </c>
      <c r="L25" s="6"/>
      <c r="M25" s="63">
        <f t="shared" ref="M25:M84" si="23">IF(OR(L25=0,J25=0),0,L25/J25)*100</f>
        <v>0</v>
      </c>
      <c r="N25" s="8">
        <f t="shared" ref="N25:N84" si="24">SUM(P25-L25)</f>
        <v>0</v>
      </c>
      <c r="O25" s="63">
        <f t="shared" ref="O25:O84" si="25">IF(OR(N25=0,J25=0),0,N25/J25)*100</f>
        <v>0</v>
      </c>
      <c r="P25" s="6"/>
      <c r="Q25" s="9">
        <f t="shared" si="15"/>
        <v>0</v>
      </c>
      <c r="R25" s="6">
        <f>SUM([11]das!$F$70)</f>
        <v>2125000000</v>
      </c>
      <c r="S25" s="58">
        <f t="shared" si="3"/>
        <v>0.28067253041757451</v>
      </c>
      <c r="T25" s="6">
        <f>SUM([11]das!$M$70)</f>
        <v>1997450267</v>
      </c>
      <c r="U25" s="63">
        <f t="shared" ref="U25:U84" si="26">IF(OR(T25=0,R25=0),0,T25/R25)*100</f>
        <v>93.997659623529415</v>
      </c>
      <c r="V25" s="8">
        <f t="shared" ref="V25:V84" si="27">SUM(X25-T25)</f>
        <v>101938645</v>
      </c>
      <c r="W25" s="63">
        <f t="shared" ref="W25:W84" si="28">IF(OR(V25=0,R25=0),0,V25/R25)*100</f>
        <v>4.7971127058823528</v>
      </c>
      <c r="X25" s="6">
        <f>SUM([11]das!$J$70)</f>
        <v>2099388912</v>
      </c>
      <c r="Y25" s="9">
        <f t="shared" si="18"/>
        <v>98.794772329411757</v>
      </c>
      <c r="Z25" s="6">
        <f>SUM([11]das!$D$68)</f>
        <v>2125000000</v>
      </c>
      <c r="AA25" s="62">
        <f t="shared" si="19"/>
        <v>2125000000</v>
      </c>
      <c r="AB25" s="63">
        <f t="shared" si="5"/>
        <v>1.8777667042550062E-2</v>
      </c>
      <c r="AC25" s="8">
        <f t="shared" si="20"/>
        <v>1997450267</v>
      </c>
      <c r="AD25" s="63">
        <f t="shared" si="6"/>
        <v>93.997659623529415</v>
      </c>
      <c r="AE25" s="8">
        <f t="shared" si="21"/>
        <v>101938645</v>
      </c>
      <c r="AF25" s="63">
        <f t="shared" si="8"/>
        <v>4.7971127058823528</v>
      </c>
      <c r="AG25" s="8">
        <f t="shared" si="22"/>
        <v>2099388912</v>
      </c>
      <c r="AH25" s="9">
        <f t="shared" si="7"/>
        <v>98.794772329411757</v>
      </c>
    </row>
    <row r="26" spans="1:34" x14ac:dyDescent="0.2">
      <c r="A26" s="5" t="s">
        <v>41</v>
      </c>
      <c r="B26" s="6"/>
      <c r="C26" s="58">
        <f>IF(OR(B26=0,B$85=0),0,B26/B$86)*100</f>
        <v>0</v>
      </c>
      <c r="D26" s="6"/>
      <c r="E26" s="63">
        <f>IF(OR(D26=0,B26=0),0,D26/B26)*100</f>
        <v>0</v>
      </c>
      <c r="F26" s="8">
        <f>SUM(H26-D26)</f>
        <v>0</v>
      </c>
      <c r="G26" s="63">
        <f>IF(OR(F26=0,B26=0),0,F26/B26)*100</f>
        <v>0</v>
      </c>
      <c r="H26" s="6"/>
      <c r="I26" s="9">
        <f>IF(OR(H26=0,B26=0),0,H26/B26)*100</f>
        <v>0</v>
      </c>
      <c r="J26" s="6">
        <f>SUM([11]amb!$F$83)</f>
        <v>45463523602</v>
      </c>
      <c r="K26" s="58">
        <f>IF(OR(J26=0,J$85=0),0,J26/J$86)*100</f>
        <v>0</v>
      </c>
      <c r="L26" s="6">
        <f>SUM([11]amb!$M$83)</f>
        <v>28955187600</v>
      </c>
      <c r="M26" s="63">
        <f>IF(OR(L26=0,J26=0),0,L26/J26)*100</f>
        <v>63.688832949864505</v>
      </c>
      <c r="N26" s="8">
        <f>SUM(P26-L26)</f>
        <v>13564319214</v>
      </c>
      <c r="O26" s="63">
        <f>IF(OR(N26=0,J26=0),0,N26/J26)*100</f>
        <v>29.835609163833681</v>
      </c>
      <c r="P26" s="6">
        <f>SUM([11]amb!$J$83)</f>
        <v>42519506814</v>
      </c>
      <c r="Q26" s="9">
        <f>IF(OR(P26=0,J26=0),0,P26/J26)*100</f>
        <v>93.524442113698186</v>
      </c>
      <c r="R26" s="6">
        <f>SUM([11]amb!$F$111)</f>
        <v>4758143783</v>
      </c>
      <c r="S26" s="58">
        <f>IF(OR(R26=0,R$85=0),0,R26/R$86)*100</f>
        <v>0.62846129678365192</v>
      </c>
      <c r="T26" s="6">
        <f>SUM([11]amb!$M$111)</f>
        <v>3440430283</v>
      </c>
      <c r="U26" s="63">
        <f>IF(OR(T26=0,R26=0),0,T26/R26)*100</f>
        <v>72.306143738069551</v>
      </c>
      <c r="V26" s="8">
        <f>SUM(X26-T26)</f>
        <v>927650713</v>
      </c>
      <c r="W26" s="63">
        <f>IF(OR(V26=0,R26=0),0,V26/R26)*100</f>
        <v>19.496063072207502</v>
      </c>
      <c r="X26" s="6">
        <f>SUM([11]amb!$J$111)</f>
        <v>4368080996</v>
      </c>
      <c r="Y26" s="9">
        <f>IF(OR(X26=0,R26=0),0,X26/R26)*100</f>
        <v>91.802206810277056</v>
      </c>
      <c r="Z26" s="6">
        <f>SUM([11]amb!$D$82)</f>
        <v>100542466000</v>
      </c>
      <c r="AA26" s="62">
        <f t="shared" si="19"/>
        <v>50221667385</v>
      </c>
      <c r="AB26" s="63">
        <f t="shared" si="5"/>
        <v>0.44378623457751809</v>
      </c>
      <c r="AC26" s="8">
        <f t="shared" si="20"/>
        <v>32395617883</v>
      </c>
      <c r="AD26" s="63">
        <f t="shared" si="6"/>
        <v>64.505261513232412</v>
      </c>
      <c r="AE26" s="8">
        <f t="shared" si="21"/>
        <v>14491969927</v>
      </c>
      <c r="AF26" s="63">
        <f t="shared" si="8"/>
        <v>28.856011123454657</v>
      </c>
      <c r="AG26" s="8">
        <f t="shared" si="22"/>
        <v>46887587810</v>
      </c>
      <c r="AH26" s="9">
        <f t="shared" si="7"/>
        <v>93.361272636687076</v>
      </c>
    </row>
    <row r="27" spans="1:34" x14ac:dyDescent="0.2">
      <c r="A27" s="5" t="s">
        <v>42</v>
      </c>
      <c r="B27" s="6"/>
      <c r="C27" s="58">
        <f t="shared" si="0"/>
        <v>0</v>
      </c>
      <c r="D27" s="6"/>
      <c r="E27" s="63">
        <f t="shared" si="9"/>
        <v>0</v>
      </c>
      <c r="F27" s="8">
        <f t="shared" si="10"/>
        <v>0</v>
      </c>
      <c r="G27" s="63">
        <f t="shared" si="11"/>
        <v>0</v>
      </c>
      <c r="H27" s="6"/>
      <c r="I27" s="9">
        <f t="shared" si="12"/>
        <v>0</v>
      </c>
      <c r="J27" s="6"/>
      <c r="K27" s="58">
        <f t="shared" si="1"/>
        <v>0</v>
      </c>
      <c r="L27" s="6"/>
      <c r="M27" s="63">
        <f t="shared" si="23"/>
        <v>0</v>
      </c>
      <c r="N27" s="8">
        <f t="shared" si="24"/>
        <v>0</v>
      </c>
      <c r="O27" s="63">
        <f t="shared" si="25"/>
        <v>0</v>
      </c>
      <c r="P27" s="6"/>
      <c r="Q27" s="9">
        <f t="shared" si="15"/>
        <v>0</v>
      </c>
      <c r="R27" s="6">
        <f>SUM([11]dad!$F$73)</f>
        <v>8966548189</v>
      </c>
      <c r="S27" s="58">
        <f t="shared" si="3"/>
        <v>1.1843123620318823</v>
      </c>
      <c r="T27" s="6">
        <f>SUM([11]dad!$M$73)</f>
        <v>6937865079</v>
      </c>
      <c r="U27" s="63">
        <f t="shared" si="26"/>
        <v>77.374982353981522</v>
      </c>
      <c r="V27" s="8">
        <f t="shared" si="27"/>
        <v>1789178310</v>
      </c>
      <c r="W27" s="63">
        <f t="shared" si="28"/>
        <v>19.953925103474397</v>
      </c>
      <c r="X27" s="6">
        <f>SUM([11]dad!$J$73)</f>
        <v>8727043389</v>
      </c>
      <c r="Y27" s="9">
        <f t="shared" si="18"/>
        <v>97.328907457455927</v>
      </c>
      <c r="Z27" s="6">
        <f>SUM([11]dad!$D$72)</f>
        <v>9000000000</v>
      </c>
      <c r="AA27" s="62">
        <f t="shared" si="19"/>
        <v>8966548189</v>
      </c>
      <c r="AB27" s="63">
        <f t="shared" si="5"/>
        <v>7.9233344194833993E-2</v>
      </c>
      <c r="AC27" s="8">
        <f t="shared" si="20"/>
        <v>6937865079</v>
      </c>
      <c r="AD27" s="63">
        <f t="shared" si="6"/>
        <v>77.374982353981522</v>
      </c>
      <c r="AE27" s="8">
        <f t="shared" si="21"/>
        <v>1789178310</v>
      </c>
      <c r="AF27" s="63">
        <f t="shared" si="8"/>
        <v>19.953925103474397</v>
      </c>
      <c r="AG27" s="8">
        <f t="shared" si="22"/>
        <v>8727043389</v>
      </c>
      <c r="AH27" s="9">
        <f t="shared" si="7"/>
        <v>97.328907457455927</v>
      </c>
    </row>
    <row r="28" spans="1:34" ht="25.5" x14ac:dyDescent="0.2">
      <c r="A28" s="5" t="s">
        <v>43</v>
      </c>
      <c r="B28" s="6"/>
      <c r="C28" s="58">
        <f t="shared" si="0"/>
        <v>0</v>
      </c>
      <c r="D28" s="6"/>
      <c r="E28" s="63">
        <f t="shared" si="9"/>
        <v>0</v>
      </c>
      <c r="F28" s="8">
        <f t="shared" si="10"/>
        <v>0</v>
      </c>
      <c r="G28" s="63">
        <f t="shared" si="11"/>
        <v>0</v>
      </c>
      <c r="H28" s="6"/>
      <c r="I28" s="9">
        <f t="shared" si="12"/>
        <v>0</v>
      </c>
      <c r="J28" s="6">
        <f>SUM([11]bom!$F$70)</f>
        <v>25899642782</v>
      </c>
      <c r="K28" s="58">
        <f t="shared" si="1"/>
        <v>0</v>
      </c>
      <c r="L28" s="6">
        <f>SUM([11]bom!$M$70)</f>
        <v>8138279763</v>
      </c>
      <c r="M28" s="63">
        <f t="shared" si="23"/>
        <v>31.42236297041141</v>
      </c>
      <c r="N28" s="8">
        <f t="shared" si="24"/>
        <v>8892532813</v>
      </c>
      <c r="O28" s="63">
        <f t="shared" si="25"/>
        <v>34.334577074476961</v>
      </c>
      <c r="P28" s="6">
        <f>SUM([11]bom!$J$70)</f>
        <v>17030812576</v>
      </c>
      <c r="Q28" s="9">
        <f t="shared" si="15"/>
        <v>65.756940044888381</v>
      </c>
      <c r="R28" s="6">
        <f>SUM([11]bom!$F$74)</f>
        <v>6092135000</v>
      </c>
      <c r="S28" s="58">
        <f t="shared" si="3"/>
        <v>0.80465644522139768</v>
      </c>
      <c r="T28" s="6">
        <f>SUM([11]bom!$M$74)</f>
        <v>5358326281</v>
      </c>
      <c r="U28" s="63">
        <f t="shared" si="26"/>
        <v>87.95481848317543</v>
      </c>
      <c r="V28" s="8">
        <f t="shared" si="27"/>
        <v>670780048</v>
      </c>
      <c r="W28" s="63">
        <f t="shared" si="28"/>
        <v>11.010590671414864</v>
      </c>
      <c r="X28" s="6">
        <f>SUM([11]bom!$J$74)</f>
        <v>6029106329</v>
      </c>
      <c r="Y28" s="9">
        <f t="shared" si="18"/>
        <v>98.965409154590304</v>
      </c>
      <c r="Z28" s="6">
        <f>SUM([11]bom!$D$69)</f>
        <v>32000000000</v>
      </c>
      <c r="AA28" s="62">
        <f t="shared" si="19"/>
        <v>31991777782</v>
      </c>
      <c r="AB28" s="63">
        <f t="shared" si="5"/>
        <v>0.28269691825395143</v>
      </c>
      <c r="AC28" s="8">
        <f t="shared" si="20"/>
        <v>13496606044</v>
      </c>
      <c r="AD28" s="63">
        <f t="shared" si="6"/>
        <v>42.187733785753508</v>
      </c>
      <c r="AE28" s="8">
        <f t="shared" si="21"/>
        <v>9563312861</v>
      </c>
      <c r="AF28" s="63">
        <f t="shared" si="8"/>
        <v>29.893033535575338</v>
      </c>
      <c r="AG28" s="8">
        <f t="shared" si="22"/>
        <v>23059918905</v>
      </c>
      <c r="AH28" s="9">
        <f t="shared" si="7"/>
        <v>72.08076732132885</v>
      </c>
    </row>
    <row r="29" spans="1:34" ht="15.75" thickBot="1" x14ac:dyDescent="0.25">
      <c r="A29" s="65" t="s">
        <v>44</v>
      </c>
      <c r="B29" s="26">
        <f>SUM(B5:B28)-B10</f>
        <v>3791702014431</v>
      </c>
      <c r="C29" s="67">
        <f t="shared" si="0"/>
        <v>56.902814719618554</v>
      </c>
      <c r="D29" s="26">
        <f>SUM(D5:D28)-D10</f>
        <v>2951286549258</v>
      </c>
      <c r="E29" s="67">
        <f t="shared" si="9"/>
        <v>77.835403152082435</v>
      </c>
      <c r="F29" s="28">
        <f t="shared" si="10"/>
        <v>495073973639</v>
      </c>
      <c r="G29" s="67">
        <f t="shared" si="11"/>
        <v>13.056774286449116</v>
      </c>
      <c r="H29" s="26">
        <f>SUM(H5:H28)-H10</f>
        <v>3446360522897</v>
      </c>
      <c r="I29" s="29">
        <f t="shared" si="12"/>
        <v>90.892177438531562</v>
      </c>
      <c r="J29" s="26">
        <f>SUM(J5:J28)-J10</f>
        <v>233762551851</v>
      </c>
      <c r="K29" s="67">
        <f t="shared" si="1"/>
        <v>0</v>
      </c>
      <c r="L29" s="26">
        <f>SUM(L5:L28)-L10</f>
        <v>111237676655.95999</v>
      </c>
      <c r="M29" s="67">
        <f t="shared" si="23"/>
        <v>47.585755620456595</v>
      </c>
      <c r="N29" s="28">
        <f t="shared" si="24"/>
        <v>88845702533.040009</v>
      </c>
      <c r="O29" s="67">
        <f t="shared" si="25"/>
        <v>38.006815817817632</v>
      </c>
      <c r="P29" s="26">
        <f>SUM(P5:P28)-P10</f>
        <v>200083379189</v>
      </c>
      <c r="Q29" s="29">
        <f t="shared" si="15"/>
        <v>85.59257143827422</v>
      </c>
      <c r="R29" s="26">
        <f>SUM(R5:R28)-R10</f>
        <v>419279421167</v>
      </c>
      <c r="S29" s="67">
        <f t="shared" si="3"/>
        <v>55.378925219274265</v>
      </c>
      <c r="T29" s="26">
        <f>SUM(T5:T28)-T10</f>
        <v>318961644268</v>
      </c>
      <c r="U29" s="67">
        <f t="shared" si="26"/>
        <v>76.073765647791433</v>
      </c>
      <c r="V29" s="28">
        <f t="shared" si="27"/>
        <v>82113982504</v>
      </c>
      <c r="W29" s="67">
        <f t="shared" si="28"/>
        <v>19.584548718238619</v>
      </c>
      <c r="X29" s="26">
        <f>SUM(X5:X28)-X10</f>
        <v>401075626772</v>
      </c>
      <c r="Y29" s="29">
        <f t="shared" si="18"/>
        <v>95.658314366030055</v>
      </c>
      <c r="Z29" s="26">
        <f>SUM(Z5:Z28)-Z10</f>
        <v>4481501842000</v>
      </c>
      <c r="AA29" s="66">
        <f>SUM(AA5:AA28)-AA10</f>
        <v>4444743987449</v>
      </c>
      <c r="AB29" s="67">
        <f t="shared" si="5"/>
        <v>39.276198910914658</v>
      </c>
      <c r="AC29" s="28">
        <f>SUM(AC5:AC28)-AC10</f>
        <v>3381485870181.96</v>
      </c>
      <c r="AD29" s="67">
        <f t="shared" si="6"/>
        <v>76.078304616206196</v>
      </c>
      <c r="AE29" s="28">
        <f>SUM(AG29-AC29)</f>
        <v>666033658676.04004</v>
      </c>
      <c r="AF29" s="67">
        <f t="shared" si="8"/>
        <v>14.984747390553329</v>
      </c>
      <c r="AG29" s="28">
        <f>SUM(AG5:AG28)-AG10</f>
        <v>4047519528858</v>
      </c>
      <c r="AH29" s="29">
        <f t="shared" si="7"/>
        <v>91.06305200675952</v>
      </c>
    </row>
    <row r="30" spans="1:34" x14ac:dyDescent="0.2">
      <c r="A30" s="69" t="s">
        <v>376</v>
      </c>
      <c r="B30" s="8">
        <f>SUM([12]ipe!$F$69)</f>
        <v>45756400653</v>
      </c>
      <c r="C30" s="58">
        <f t="shared" si="0"/>
        <v>0.68667526580012928</v>
      </c>
      <c r="D30" s="8">
        <f>SUM([12]ipe!$M$69)</f>
        <v>22612915462</v>
      </c>
      <c r="E30" s="58">
        <f t="shared" si="9"/>
        <v>49.420223486301239</v>
      </c>
      <c r="F30" s="33">
        <f t="shared" si="10"/>
        <v>20395629012</v>
      </c>
      <c r="G30" s="58">
        <f t="shared" si="11"/>
        <v>44.574373685275368</v>
      </c>
      <c r="H30" s="8">
        <f>SUM([12]ipe!$J$69)</f>
        <v>43008544474</v>
      </c>
      <c r="I30" s="34">
        <f t="shared" si="12"/>
        <v>93.994597171576615</v>
      </c>
      <c r="J30" s="8"/>
      <c r="K30" s="58">
        <f t="shared" si="1"/>
        <v>0</v>
      </c>
      <c r="L30" s="8"/>
      <c r="M30" s="58">
        <f t="shared" si="23"/>
        <v>0</v>
      </c>
      <c r="N30" s="33">
        <f t="shared" si="24"/>
        <v>0</v>
      </c>
      <c r="O30" s="58">
        <f t="shared" si="25"/>
        <v>0</v>
      </c>
      <c r="P30" s="8"/>
      <c r="Q30" s="34">
        <f t="shared" si="15"/>
        <v>0</v>
      </c>
      <c r="R30" s="8">
        <f>SUM([12]ipe!$F$81)</f>
        <v>1416610058</v>
      </c>
      <c r="S30" s="58">
        <f t="shared" si="3"/>
        <v>0.18710754333828092</v>
      </c>
      <c r="T30" s="8">
        <f>SUM([12]ipe!$M$81)</f>
        <v>1003793371</v>
      </c>
      <c r="U30" s="58">
        <f t="shared" si="26"/>
        <v>70.858834111143949</v>
      </c>
      <c r="V30" s="33">
        <f t="shared" si="27"/>
        <v>230490000</v>
      </c>
      <c r="W30" s="58">
        <f t="shared" si="28"/>
        <v>16.270532508106758</v>
      </c>
      <c r="X30" s="8">
        <f>SUM([12]ipe!$J$81)</f>
        <v>1234283371</v>
      </c>
      <c r="Y30" s="34">
        <f t="shared" si="18"/>
        <v>87.129366619250703</v>
      </c>
      <c r="Z30" s="8">
        <f>SUM([12]ipe!$D$68)</f>
        <v>47400000000</v>
      </c>
      <c r="AA30" s="62">
        <f t="shared" si="19"/>
        <v>47173010711</v>
      </c>
      <c r="AB30" s="63">
        <f t="shared" si="5"/>
        <v>0.41684662989449683</v>
      </c>
      <c r="AC30" s="8">
        <f t="shared" ref="AC30:AC49" si="29">SUM(D30+L30+T30)</f>
        <v>23616708833</v>
      </c>
      <c r="AD30" s="63">
        <f t="shared" ref="AD30:AD49" si="30">IF(OR(AC30=0,AA30=0),0,AC30/AA30)*100</f>
        <v>50.064027029533989</v>
      </c>
      <c r="AE30" s="8">
        <f t="shared" ref="AE30:AE49" si="31">SUM(F30+N30+V30)</f>
        <v>20626119012</v>
      </c>
      <c r="AF30" s="63">
        <f t="shared" ref="AF30:AF49" si="32">IF(OR(AE30=0,AA30=0),0,AE30/AA30)*100</f>
        <v>43.724406606912446</v>
      </c>
      <c r="AG30" s="8">
        <f t="shared" ref="AG30:AG49" si="33">SUM(AC30+AE30)</f>
        <v>44242827845</v>
      </c>
      <c r="AH30" s="9">
        <f t="shared" ref="AH30:AH49" si="34">IF(OR(AG30=0,AA30=0),0,AG30/AA30)*100</f>
        <v>93.788433636446427</v>
      </c>
    </row>
    <row r="31" spans="1:34" x14ac:dyDescent="0.2">
      <c r="A31" s="70" t="s">
        <v>46</v>
      </c>
      <c r="B31" s="8">
        <f>SUM([12]ffd!$F$50)</f>
        <v>1923378895440</v>
      </c>
      <c r="C31" s="58">
        <f t="shared" si="0"/>
        <v>28.864523769616646</v>
      </c>
      <c r="D31" s="8">
        <f>SUM([12]ffd!$M$50)</f>
        <v>1350155573010</v>
      </c>
      <c r="E31" s="63">
        <f t="shared" si="9"/>
        <v>70.19706705792531</v>
      </c>
      <c r="F31" s="8">
        <f t="shared" si="10"/>
        <v>193301785205</v>
      </c>
      <c r="G31" s="63">
        <f t="shared" si="11"/>
        <v>10.050114705078924</v>
      </c>
      <c r="H31" s="8">
        <f>SUM([12]ffd!$J$50)</f>
        <v>1543457358215</v>
      </c>
      <c r="I31" s="9">
        <f t="shared" si="12"/>
        <v>80.247181763004235</v>
      </c>
      <c r="J31" s="8">
        <f>SUM([12]ffd!$F$81)</f>
        <v>31672737685</v>
      </c>
      <c r="K31" s="58">
        <f t="shared" si="1"/>
        <v>0</v>
      </c>
      <c r="L31" s="8">
        <f>SUM([12]ffd!$M$81)</f>
        <v>22544326896</v>
      </c>
      <c r="M31" s="63">
        <f t="shared" si="23"/>
        <v>71.178965077833624</v>
      </c>
      <c r="N31" s="8">
        <f t="shared" si="24"/>
        <v>8933489839</v>
      </c>
      <c r="O31" s="63">
        <f t="shared" si="25"/>
        <v>28.205613066504327</v>
      </c>
      <c r="P31" s="8">
        <f>SUM([12]ffd!$J$81)</f>
        <v>31477816735</v>
      </c>
      <c r="Q31" s="9">
        <f t="shared" si="15"/>
        <v>99.384578144337951</v>
      </c>
      <c r="R31" s="8">
        <f>SUM([12]ffd!$F$85)</f>
        <v>9559337653</v>
      </c>
      <c r="S31" s="58">
        <f t="shared" si="3"/>
        <v>1.2626087003216506</v>
      </c>
      <c r="T31" s="8">
        <f>SUM([12]ffd!$M$85)</f>
        <v>6288521947</v>
      </c>
      <c r="U31" s="63">
        <f t="shared" si="26"/>
        <v>65.784076002655667</v>
      </c>
      <c r="V31" s="8">
        <f t="shared" si="27"/>
        <v>3239606906</v>
      </c>
      <c r="W31" s="63">
        <f t="shared" si="28"/>
        <v>33.889449495314317</v>
      </c>
      <c r="X31" s="8">
        <f>SUM([12]ffd!$J$85)</f>
        <v>9528128853</v>
      </c>
      <c r="Y31" s="9">
        <f t="shared" si="18"/>
        <v>99.67352549796999</v>
      </c>
      <c r="Z31" s="8">
        <f>SUM([12]ffd!$D$49)</f>
        <v>2281440287000</v>
      </c>
      <c r="AA31" s="62">
        <f t="shared" si="19"/>
        <v>1964610970778</v>
      </c>
      <c r="AB31" s="63">
        <f t="shared" si="5"/>
        <v>17.360381495251922</v>
      </c>
      <c r="AC31" s="8">
        <f t="shared" si="29"/>
        <v>1378988421853</v>
      </c>
      <c r="AD31" s="63">
        <f t="shared" si="30"/>
        <v>70.191424275051801</v>
      </c>
      <c r="AE31" s="8">
        <f t="shared" si="31"/>
        <v>205474881950</v>
      </c>
      <c r="AF31" s="63">
        <f t="shared" si="32"/>
        <v>10.458807621777174</v>
      </c>
      <c r="AG31" s="8">
        <f t="shared" si="33"/>
        <v>1584463303803</v>
      </c>
      <c r="AH31" s="9">
        <f t="shared" si="34"/>
        <v>80.650231896828984</v>
      </c>
    </row>
    <row r="32" spans="1:34" x14ac:dyDescent="0.2">
      <c r="A32" s="70" t="s">
        <v>47</v>
      </c>
      <c r="B32" s="8"/>
      <c r="C32" s="58">
        <f t="shared" si="0"/>
        <v>0</v>
      </c>
      <c r="D32" s="8"/>
      <c r="E32" s="63">
        <f t="shared" si="9"/>
        <v>0</v>
      </c>
      <c r="F32" s="8">
        <f t="shared" si="10"/>
        <v>0</v>
      </c>
      <c r="G32" s="63">
        <f t="shared" si="11"/>
        <v>0</v>
      </c>
      <c r="H32" s="8"/>
      <c r="I32" s="9">
        <f t="shared" si="12"/>
        <v>0</v>
      </c>
      <c r="J32" s="8">
        <f>SUM([12]fop!$F$61)</f>
        <v>78888720825</v>
      </c>
      <c r="K32" s="58">
        <f t="shared" si="1"/>
        <v>0</v>
      </c>
      <c r="L32" s="8">
        <f>SUM([12]fop!$M$61)</f>
        <v>18188385980</v>
      </c>
      <c r="M32" s="63">
        <f t="shared" si="23"/>
        <v>23.055749655704979</v>
      </c>
      <c r="N32" s="8">
        <f t="shared" si="24"/>
        <v>38525911477</v>
      </c>
      <c r="O32" s="63">
        <f t="shared" si="25"/>
        <v>48.835766474731656</v>
      </c>
      <c r="P32" s="8">
        <f>SUM([12]fop!$J$61)</f>
        <v>56714297457</v>
      </c>
      <c r="Q32" s="9">
        <f t="shared" si="15"/>
        <v>71.891516130436642</v>
      </c>
      <c r="R32" s="8">
        <f>SUM([12]fop!$F$83)</f>
        <v>4266195680</v>
      </c>
      <c r="S32" s="58">
        <f t="shared" si="3"/>
        <v>0.56348420553511758</v>
      </c>
      <c r="T32" s="8">
        <f>SUM([12]fop!$M$83)</f>
        <v>3434267060</v>
      </c>
      <c r="U32" s="63">
        <f t="shared" si="26"/>
        <v>80.499520359553685</v>
      </c>
      <c r="V32" s="8">
        <f t="shared" si="27"/>
        <v>819497432</v>
      </c>
      <c r="W32" s="63">
        <f t="shared" si="28"/>
        <v>19.20909150608863</v>
      </c>
      <c r="X32" s="8">
        <f>SUM([12]fop!$J$83)</f>
        <v>4253764492</v>
      </c>
      <c r="Y32" s="9">
        <f t="shared" si="18"/>
        <v>99.708611865642311</v>
      </c>
      <c r="Z32" s="8">
        <f>SUM([12]fop!$F$60)</f>
        <v>83154916505</v>
      </c>
      <c r="AA32" s="62">
        <f t="shared" si="19"/>
        <v>83154916505</v>
      </c>
      <c r="AB32" s="63">
        <f t="shared" si="5"/>
        <v>0.73480251062679569</v>
      </c>
      <c r="AC32" s="8">
        <f t="shared" si="29"/>
        <v>21622653040</v>
      </c>
      <c r="AD32" s="63">
        <f t="shared" si="30"/>
        <v>26.002855812740616</v>
      </c>
      <c r="AE32" s="8">
        <f t="shared" si="31"/>
        <v>39345408909</v>
      </c>
      <c r="AF32" s="63">
        <f t="shared" si="32"/>
        <v>47.31579389732682</v>
      </c>
      <c r="AG32" s="8">
        <f t="shared" si="33"/>
        <v>60968061949</v>
      </c>
      <c r="AH32" s="9">
        <f t="shared" si="34"/>
        <v>73.318649710067433</v>
      </c>
    </row>
    <row r="33" spans="1:34" x14ac:dyDescent="0.2">
      <c r="A33" s="70" t="s">
        <v>48</v>
      </c>
      <c r="B33" s="8"/>
      <c r="C33" s="58">
        <f t="shared" si="0"/>
        <v>0</v>
      </c>
      <c r="D33" s="8"/>
      <c r="E33" s="63">
        <f t="shared" si="9"/>
        <v>0</v>
      </c>
      <c r="F33" s="8">
        <f t="shared" si="10"/>
        <v>0</v>
      </c>
      <c r="G33" s="63">
        <f t="shared" si="11"/>
        <v>0</v>
      </c>
      <c r="H33" s="8"/>
      <c r="I33" s="9">
        <f t="shared" si="12"/>
        <v>0</v>
      </c>
      <c r="J33" s="8">
        <f>SUM([12]idu!$F$76)</f>
        <v>1255529961599</v>
      </c>
      <c r="K33" s="58">
        <f t="shared" si="1"/>
        <v>0</v>
      </c>
      <c r="L33" s="8">
        <f>SUM([12]idu!$M$76)</f>
        <v>50081939234</v>
      </c>
      <c r="M33" s="63">
        <f t="shared" si="23"/>
        <v>3.9889083308069653</v>
      </c>
      <c r="N33" s="8">
        <f t="shared" si="24"/>
        <v>897246091396</v>
      </c>
      <c r="O33" s="63">
        <f t="shared" si="25"/>
        <v>71.463534829013412</v>
      </c>
      <c r="P33" s="8">
        <f>SUM([12]idu!$J$76)</f>
        <v>947328030630</v>
      </c>
      <c r="Q33" s="9">
        <f t="shared" si="15"/>
        <v>75.452443159820376</v>
      </c>
      <c r="R33" s="8">
        <f>SUM([12]idu!$F$90)</f>
        <v>56676229000</v>
      </c>
      <c r="S33" s="58">
        <f t="shared" si="3"/>
        <v>7.485863815508667</v>
      </c>
      <c r="T33" s="8">
        <f>SUM([12]idu!$M$90)</f>
        <v>39157849444</v>
      </c>
      <c r="U33" s="63">
        <f t="shared" si="26"/>
        <v>69.09042844752426</v>
      </c>
      <c r="V33" s="8">
        <f t="shared" si="27"/>
        <v>16611187464</v>
      </c>
      <c r="W33" s="63">
        <f t="shared" si="28"/>
        <v>29.308914437479601</v>
      </c>
      <c r="X33" s="8">
        <f>SUM([12]idu!$J$90)</f>
        <v>55769036908</v>
      </c>
      <c r="Y33" s="9">
        <f t="shared" si="18"/>
        <v>98.399342885003875</v>
      </c>
      <c r="Z33" s="8">
        <f>SUM([12]idu!$F$75)</f>
        <v>1312206190599</v>
      </c>
      <c r="AA33" s="62">
        <f t="shared" si="19"/>
        <v>1312206190599</v>
      </c>
      <c r="AB33" s="63">
        <f t="shared" si="5"/>
        <v>11.595374559172241</v>
      </c>
      <c r="AC33" s="8">
        <f t="shared" si="29"/>
        <v>89239788678</v>
      </c>
      <c r="AD33" s="63">
        <f t="shared" si="30"/>
        <v>6.800744373661546</v>
      </c>
      <c r="AE33" s="8">
        <f t="shared" si="31"/>
        <v>913857278860</v>
      </c>
      <c r="AF33" s="63">
        <f t="shared" si="32"/>
        <v>69.642811122758047</v>
      </c>
      <c r="AG33" s="8">
        <f t="shared" si="33"/>
        <v>1003097067538</v>
      </c>
      <c r="AH33" s="9">
        <f t="shared" si="34"/>
        <v>76.443555496419592</v>
      </c>
    </row>
    <row r="34" spans="1:34" ht="25.5" x14ac:dyDescent="0.2">
      <c r="A34" s="70" t="s">
        <v>49</v>
      </c>
      <c r="B34" s="8"/>
      <c r="C34" s="58">
        <f t="shared" si="0"/>
        <v>0</v>
      </c>
      <c r="D34" s="8"/>
      <c r="E34" s="63">
        <f t="shared" si="9"/>
        <v>0</v>
      </c>
      <c r="F34" s="8">
        <f t="shared" si="10"/>
        <v>0</v>
      </c>
      <c r="G34" s="63">
        <f t="shared" si="11"/>
        <v>0</v>
      </c>
      <c r="H34" s="8"/>
      <c r="I34" s="9">
        <f t="shared" si="12"/>
        <v>0</v>
      </c>
      <c r="J34" s="8"/>
      <c r="K34" s="58">
        <f t="shared" si="1"/>
        <v>0</v>
      </c>
      <c r="L34" s="8"/>
      <c r="M34" s="63">
        <f t="shared" si="23"/>
        <v>0</v>
      </c>
      <c r="N34" s="8">
        <f t="shared" si="24"/>
        <v>0</v>
      </c>
      <c r="O34" s="63">
        <f t="shared" si="25"/>
        <v>0</v>
      </c>
      <c r="P34" s="8"/>
      <c r="Q34" s="9">
        <f t="shared" si="15"/>
        <v>0</v>
      </c>
      <c r="R34" s="8">
        <f>SUM([12]fon!$F$85)</f>
        <v>8298750000</v>
      </c>
      <c r="S34" s="58">
        <f t="shared" si="3"/>
        <v>1.0961087820248687</v>
      </c>
      <c r="T34" s="8">
        <f>SUM([12]fon!$M$85)</f>
        <v>2284785067</v>
      </c>
      <c r="U34" s="63">
        <f t="shared" si="26"/>
        <v>27.531677264648291</v>
      </c>
      <c r="V34" s="8">
        <f t="shared" si="27"/>
        <v>3421159562</v>
      </c>
      <c r="W34" s="63">
        <f t="shared" si="28"/>
        <v>41.224998487724058</v>
      </c>
      <c r="X34" s="8">
        <f>SUM([12]fon!$J$85)</f>
        <v>5705944629</v>
      </c>
      <c r="Y34" s="9">
        <f t="shared" si="18"/>
        <v>68.756675752372345</v>
      </c>
      <c r="Z34" s="8">
        <f>SUM([12]fon!$D$84)</f>
        <v>8298750000</v>
      </c>
      <c r="AA34" s="62">
        <f t="shared" si="19"/>
        <v>8298750000</v>
      </c>
      <c r="AB34" s="63">
        <f t="shared" si="5"/>
        <v>7.3332312644405803E-2</v>
      </c>
      <c r="AC34" s="8">
        <f t="shared" si="29"/>
        <v>2284785067</v>
      </c>
      <c r="AD34" s="63">
        <f t="shared" si="30"/>
        <v>27.531677264648291</v>
      </c>
      <c r="AE34" s="8">
        <f t="shared" si="31"/>
        <v>3421159562</v>
      </c>
      <c r="AF34" s="63">
        <f t="shared" si="32"/>
        <v>41.224998487724058</v>
      </c>
      <c r="AG34" s="8">
        <f t="shared" si="33"/>
        <v>5705944629</v>
      </c>
      <c r="AH34" s="9">
        <f t="shared" si="34"/>
        <v>68.756675752372345</v>
      </c>
    </row>
    <row r="35" spans="1:34" x14ac:dyDescent="0.2">
      <c r="A35" s="70" t="s">
        <v>50</v>
      </c>
      <c r="B35" s="8">
        <f>SUM([12]cvp!$F$74)</f>
        <v>37966376055</v>
      </c>
      <c r="C35" s="58">
        <f t="shared" si="0"/>
        <v>0.56976884101406</v>
      </c>
      <c r="D35" s="8">
        <f>SUM([12]cvp!$M$74)</f>
        <v>29517106467</v>
      </c>
      <c r="E35" s="63">
        <f t="shared" si="9"/>
        <v>77.745388246273578</v>
      </c>
      <c r="F35" s="8">
        <f t="shared" si="10"/>
        <v>5146217771</v>
      </c>
      <c r="G35" s="63">
        <f t="shared" si="11"/>
        <v>13.554672069688534</v>
      </c>
      <c r="H35" s="8">
        <f>SUM([12]cvp!$J$74)</f>
        <v>34663324238</v>
      </c>
      <c r="I35" s="9">
        <f t="shared" si="12"/>
        <v>91.300060315962114</v>
      </c>
      <c r="J35" s="8">
        <f>SUM([12]cvp!$F$87)</f>
        <v>74568090793</v>
      </c>
      <c r="K35" s="58">
        <f t="shared" si="1"/>
        <v>0</v>
      </c>
      <c r="L35" s="8">
        <f>SUM([12]cvp!$M$87)</f>
        <v>42358948374</v>
      </c>
      <c r="M35" s="63">
        <f t="shared" si="23"/>
        <v>56.805730069699464</v>
      </c>
      <c r="N35" s="8">
        <f t="shared" si="24"/>
        <v>11639220072</v>
      </c>
      <c r="O35" s="63">
        <f t="shared" si="25"/>
        <v>15.608848165779538</v>
      </c>
      <c r="P35" s="8">
        <f>SUM([12]cvp!$J$87)</f>
        <v>53998168446</v>
      </c>
      <c r="Q35" s="9">
        <f t="shared" si="15"/>
        <v>72.414578235478999</v>
      </c>
      <c r="R35" s="8">
        <f>SUM([12]cvp!$F$91)</f>
        <v>3877674000</v>
      </c>
      <c r="S35" s="58">
        <f t="shared" si="3"/>
        <v>0.51216779939502954</v>
      </c>
      <c r="T35" s="8">
        <f>SUM([12]cvp!$M$91)</f>
        <v>2858427473</v>
      </c>
      <c r="U35" s="63">
        <f t="shared" si="26"/>
        <v>73.715002163668217</v>
      </c>
      <c r="V35" s="8">
        <f t="shared" si="27"/>
        <v>912449024</v>
      </c>
      <c r="W35" s="63">
        <f t="shared" si="28"/>
        <v>23.53083379366084</v>
      </c>
      <c r="X35" s="8">
        <f>SUM([12]cvp!$J$91)</f>
        <v>3770876497</v>
      </c>
      <c r="Y35" s="9">
        <f t="shared" si="18"/>
        <v>97.245835957329064</v>
      </c>
      <c r="Z35" s="8">
        <f>SUM([12]cvp!$D$73)</f>
        <v>76376135000</v>
      </c>
      <c r="AA35" s="62">
        <f t="shared" si="19"/>
        <v>116412140848</v>
      </c>
      <c r="AB35" s="63">
        <f t="shared" si="5"/>
        <v>1.028681609672558</v>
      </c>
      <c r="AC35" s="8">
        <f t="shared" si="29"/>
        <v>74734482314</v>
      </c>
      <c r="AD35" s="63">
        <f t="shared" si="30"/>
        <v>64.198185661391832</v>
      </c>
      <c r="AE35" s="8">
        <f t="shared" si="31"/>
        <v>17697886867</v>
      </c>
      <c r="AF35" s="63">
        <f t="shared" si="32"/>
        <v>15.20278446739351</v>
      </c>
      <c r="AG35" s="8">
        <f t="shared" si="33"/>
        <v>92432369181</v>
      </c>
      <c r="AH35" s="9">
        <f t="shared" si="34"/>
        <v>79.400970128785346</v>
      </c>
    </row>
    <row r="36" spans="1:34" x14ac:dyDescent="0.2">
      <c r="A36" s="71" t="s">
        <v>51</v>
      </c>
      <c r="B36" s="8">
        <f>SUM([12]idr!$F$80)</f>
        <v>171159837874</v>
      </c>
      <c r="C36" s="58">
        <f t="shared" si="0"/>
        <v>2.5686292079167306</v>
      </c>
      <c r="D36" s="8">
        <f>SUM([12]idr!$M$80)</f>
        <v>80939176308</v>
      </c>
      <c r="E36" s="63">
        <f t="shared" si="9"/>
        <v>47.288649786863964</v>
      </c>
      <c r="F36" s="8">
        <f t="shared" si="10"/>
        <v>42583369708</v>
      </c>
      <c r="G36" s="63">
        <f t="shared" si="11"/>
        <v>24.87930009570815</v>
      </c>
      <c r="H36" s="8">
        <f>SUM([12]idr!$J$80)</f>
        <v>123522546016</v>
      </c>
      <c r="I36" s="9">
        <f t="shared" si="12"/>
        <v>72.167949882572117</v>
      </c>
      <c r="J36" s="8">
        <f>SUM([12]idr!$F$102)</f>
        <v>2961966900</v>
      </c>
      <c r="K36" s="58">
        <f t="shared" si="1"/>
        <v>0</v>
      </c>
      <c r="L36" s="8">
        <f>SUM([12]idr!$M$102)</f>
        <v>2725890801</v>
      </c>
      <c r="M36" s="63">
        <f t="shared" si="23"/>
        <v>92.029752290614724</v>
      </c>
      <c r="N36" s="8">
        <f t="shared" si="24"/>
        <v>174431665</v>
      </c>
      <c r="O36" s="63">
        <f t="shared" si="25"/>
        <v>5.889048422519509</v>
      </c>
      <c r="P36" s="8">
        <f>SUM([12]idr!$J$102)</f>
        <v>2900322466</v>
      </c>
      <c r="Q36" s="9">
        <f t="shared" si="15"/>
        <v>97.918800713134232</v>
      </c>
      <c r="R36" s="8">
        <f>SUM([12]idr!$F$106)</f>
        <v>4216047789</v>
      </c>
      <c r="S36" s="58">
        <f t="shared" si="3"/>
        <v>0.5568606123764942</v>
      </c>
      <c r="T36" s="8">
        <f>SUM([12]idr!$M$106)</f>
        <v>3145841436</v>
      </c>
      <c r="U36" s="63">
        <f t="shared" si="26"/>
        <v>74.615886570540013</v>
      </c>
      <c r="V36" s="8">
        <f t="shared" si="27"/>
        <v>930008999</v>
      </c>
      <c r="W36" s="63">
        <f t="shared" si="28"/>
        <v>22.058786938479837</v>
      </c>
      <c r="X36" s="8">
        <f>SUM([12]idr!$J$106)</f>
        <v>4075850435</v>
      </c>
      <c r="Y36" s="9">
        <f t="shared" si="18"/>
        <v>96.674673509019854</v>
      </c>
      <c r="Z36" s="8">
        <f>SUM([12]idr!$D$79)</f>
        <v>210245953000</v>
      </c>
      <c r="AA36" s="62">
        <f t="shared" si="19"/>
        <v>178337852563</v>
      </c>
      <c r="AB36" s="63">
        <f t="shared" si="5"/>
        <v>1.5758912077700693</v>
      </c>
      <c r="AC36" s="8">
        <f t="shared" si="29"/>
        <v>86810908545</v>
      </c>
      <c r="AD36" s="63">
        <f t="shared" si="30"/>
        <v>48.677780570635164</v>
      </c>
      <c r="AE36" s="8">
        <f t="shared" si="31"/>
        <v>43687810372</v>
      </c>
      <c r="AF36" s="63">
        <f t="shared" si="32"/>
        <v>24.497216796174413</v>
      </c>
      <c r="AG36" s="8">
        <f t="shared" si="33"/>
        <v>130498718917</v>
      </c>
      <c r="AH36" s="9">
        <f t="shared" si="34"/>
        <v>73.174997366809578</v>
      </c>
    </row>
    <row r="37" spans="1:34" x14ac:dyDescent="0.2">
      <c r="A37" s="70" t="s">
        <v>52</v>
      </c>
      <c r="B37" s="8">
        <f>SUM([12]idt!$D$71)</f>
        <v>11635750000</v>
      </c>
      <c r="C37" s="58">
        <f t="shared" si="0"/>
        <v>0.17461997906319132</v>
      </c>
      <c r="D37" s="8">
        <f>SUM([12]idt!$M$71)</f>
        <v>5962983840</v>
      </c>
      <c r="E37" s="63">
        <f t="shared" si="9"/>
        <v>51.247094858517926</v>
      </c>
      <c r="F37" s="8">
        <f t="shared" si="10"/>
        <v>5378868541</v>
      </c>
      <c r="G37" s="63">
        <f t="shared" si="11"/>
        <v>46.227089280880044</v>
      </c>
      <c r="H37" s="8">
        <f>SUM([12]idt!$J$71)</f>
        <v>11341852381</v>
      </c>
      <c r="I37" s="9">
        <f t="shared" si="12"/>
        <v>97.474184139397977</v>
      </c>
      <c r="J37" s="8"/>
      <c r="K37" s="58">
        <f t="shared" si="1"/>
        <v>0</v>
      </c>
      <c r="L37" s="8"/>
      <c r="M37" s="63">
        <f t="shared" si="23"/>
        <v>0</v>
      </c>
      <c r="N37" s="8">
        <f t="shared" si="24"/>
        <v>0</v>
      </c>
      <c r="O37" s="63">
        <f t="shared" si="25"/>
        <v>0</v>
      </c>
      <c r="P37" s="8"/>
      <c r="Q37" s="9">
        <f t="shared" si="15"/>
        <v>0</v>
      </c>
      <c r="R37" s="8">
        <f>SUM([12]idt!$F$77)</f>
        <v>1864250000</v>
      </c>
      <c r="S37" s="58">
        <f t="shared" si="3"/>
        <v>0.24623235992045331</v>
      </c>
      <c r="T37" s="8">
        <f>SUM([12]idt!$M$77)</f>
        <v>1141515884</v>
      </c>
      <c r="U37" s="63">
        <f t="shared" si="26"/>
        <v>61.231910097894591</v>
      </c>
      <c r="V37" s="8">
        <f t="shared" si="27"/>
        <v>651818718</v>
      </c>
      <c r="W37" s="63">
        <f t="shared" si="28"/>
        <v>34.964125948772967</v>
      </c>
      <c r="X37" s="8">
        <f>SUM([12]idt!$J$77)</f>
        <v>1793334602</v>
      </c>
      <c r="Y37" s="9">
        <f t="shared" si="18"/>
        <v>96.196036046667572</v>
      </c>
      <c r="Z37" s="8">
        <f>SUM([12]idt!$D$70)</f>
        <v>13500000000</v>
      </c>
      <c r="AA37" s="62">
        <f t="shared" si="19"/>
        <v>13500000000</v>
      </c>
      <c r="AB37" s="63">
        <f t="shared" si="5"/>
        <v>0.11929341415267099</v>
      </c>
      <c r="AC37" s="8">
        <f t="shared" si="29"/>
        <v>7104499724</v>
      </c>
      <c r="AD37" s="63">
        <f t="shared" si="30"/>
        <v>52.625923881481484</v>
      </c>
      <c r="AE37" s="8">
        <f t="shared" si="31"/>
        <v>6030687259</v>
      </c>
      <c r="AF37" s="63">
        <f t="shared" si="32"/>
        <v>44.671757474074077</v>
      </c>
      <c r="AG37" s="8">
        <f t="shared" si="33"/>
        <v>13135186983</v>
      </c>
      <c r="AH37" s="9">
        <f t="shared" si="34"/>
        <v>97.297681355555554</v>
      </c>
    </row>
    <row r="38" spans="1:34" x14ac:dyDescent="0.2">
      <c r="A38" s="70" t="s">
        <v>53</v>
      </c>
      <c r="B38" s="8">
        <f>SUM([12]idp!$F$75)</f>
        <v>22937858087</v>
      </c>
      <c r="C38" s="58">
        <f t="shared" si="0"/>
        <v>0.34423292859561211</v>
      </c>
      <c r="D38" s="8">
        <f>SUM([12]idp!$M$75)</f>
        <v>9222002075</v>
      </c>
      <c r="E38" s="63">
        <f t="shared" si="9"/>
        <v>40.20428603238485</v>
      </c>
      <c r="F38" s="8">
        <f t="shared" si="10"/>
        <v>9100110668</v>
      </c>
      <c r="G38" s="63">
        <f t="shared" si="11"/>
        <v>39.67288764925037</v>
      </c>
      <c r="H38" s="8">
        <f>SUM([12]idp!$J$75)</f>
        <v>18322112743</v>
      </c>
      <c r="I38" s="9">
        <f t="shared" si="12"/>
        <v>79.877173681635213</v>
      </c>
      <c r="J38" s="8"/>
      <c r="K38" s="58">
        <f t="shared" si="1"/>
        <v>0</v>
      </c>
      <c r="L38" s="8"/>
      <c r="M38" s="63">
        <f t="shared" si="23"/>
        <v>0</v>
      </c>
      <c r="N38" s="8">
        <f t="shared" si="24"/>
        <v>0</v>
      </c>
      <c r="O38" s="63">
        <f t="shared" si="25"/>
        <v>0</v>
      </c>
      <c r="P38" s="8"/>
      <c r="Q38" s="9">
        <f t="shared" si="15"/>
        <v>0</v>
      </c>
      <c r="R38" s="8">
        <f>SUM([12]idp!$F$90)</f>
        <v>573800000</v>
      </c>
      <c r="S38" s="58">
        <f t="shared" si="3"/>
        <v>7.5788187272284355E-2</v>
      </c>
      <c r="T38" s="8">
        <f>SUM([12]idp!$M$90)</f>
        <v>499073718</v>
      </c>
      <c r="U38" s="63">
        <f t="shared" si="26"/>
        <v>86.97694632276054</v>
      </c>
      <c r="V38" s="8">
        <f t="shared" si="27"/>
        <v>55048698</v>
      </c>
      <c r="W38" s="63">
        <f t="shared" si="28"/>
        <v>9.5937082607180209</v>
      </c>
      <c r="X38" s="8">
        <f>SUM([12]idp!$J$90)</f>
        <v>554122416</v>
      </c>
      <c r="Y38" s="9">
        <f t="shared" si="18"/>
        <v>96.570654583478571</v>
      </c>
      <c r="Z38" s="8">
        <f>SUM([12]idp!$D$74)</f>
        <v>22996133000</v>
      </c>
      <c r="AA38" s="62">
        <f t="shared" si="19"/>
        <v>23511658087</v>
      </c>
      <c r="AB38" s="63">
        <f t="shared" ref="AB38:AB84" si="35">IF(OR(AA38=0,AA$85=0),0,AA38/AA$86)*100</f>
        <v>0.20776192337692498</v>
      </c>
      <c r="AC38" s="8">
        <f t="shared" si="29"/>
        <v>9721075793</v>
      </c>
      <c r="AD38" s="63">
        <f t="shared" si="30"/>
        <v>41.345768797033287</v>
      </c>
      <c r="AE38" s="8">
        <f t="shared" si="31"/>
        <v>9155159366</v>
      </c>
      <c r="AF38" s="63">
        <f t="shared" si="32"/>
        <v>38.938807854908561</v>
      </c>
      <c r="AG38" s="8">
        <f t="shared" si="33"/>
        <v>18876235159</v>
      </c>
      <c r="AH38" s="9">
        <f t="shared" si="34"/>
        <v>80.284576651941848</v>
      </c>
    </row>
    <row r="39" spans="1:34" x14ac:dyDescent="0.2">
      <c r="A39" s="70" t="s">
        <v>54</v>
      </c>
      <c r="B39" s="8">
        <f>SUM([12]idi!$F$73)</f>
        <v>83175900820</v>
      </c>
      <c r="C39" s="58">
        <f t="shared" si="0"/>
        <v>1.2482370332596076</v>
      </c>
      <c r="D39" s="8">
        <f>SUM([12]idi!$M$73)</f>
        <v>55349636200</v>
      </c>
      <c r="E39" s="63">
        <f t="shared" si="9"/>
        <v>66.54528012841304</v>
      </c>
      <c r="F39" s="8">
        <f t="shared" si="10"/>
        <v>15235755068</v>
      </c>
      <c r="G39" s="63">
        <f t="shared" si="11"/>
        <v>18.317511343786368</v>
      </c>
      <c r="H39" s="8">
        <f>SUM([12]idi!$J$73)</f>
        <v>70585391268</v>
      </c>
      <c r="I39" s="9">
        <f t="shared" si="12"/>
        <v>84.862791472199405</v>
      </c>
      <c r="J39" s="8"/>
      <c r="K39" s="58">
        <f t="shared" si="1"/>
        <v>0</v>
      </c>
      <c r="L39" s="8"/>
      <c r="M39" s="63">
        <f t="shared" si="23"/>
        <v>0</v>
      </c>
      <c r="N39" s="8">
        <f t="shared" si="24"/>
        <v>0</v>
      </c>
      <c r="O39" s="63">
        <f t="shared" si="25"/>
        <v>0</v>
      </c>
      <c r="P39" s="8"/>
      <c r="Q39" s="9">
        <f t="shared" si="15"/>
        <v>0</v>
      </c>
      <c r="R39" s="8"/>
      <c r="S39" s="58">
        <f t="shared" si="3"/>
        <v>0</v>
      </c>
      <c r="T39" s="8"/>
      <c r="U39" s="63">
        <f t="shared" si="26"/>
        <v>0</v>
      </c>
      <c r="V39" s="8">
        <f t="shared" si="27"/>
        <v>0</v>
      </c>
      <c r="W39" s="63">
        <f t="shared" si="28"/>
        <v>0</v>
      </c>
      <c r="X39" s="8"/>
      <c r="Y39" s="9">
        <f t="shared" si="18"/>
        <v>0</v>
      </c>
      <c r="Z39" s="8">
        <f>SUM([12]idi!$D$72)</f>
        <v>77071000000</v>
      </c>
      <c r="AA39" s="62">
        <f t="shared" si="19"/>
        <v>83175900820</v>
      </c>
      <c r="AB39" s="63">
        <f t="shared" si="35"/>
        <v>0.73498793955864794</v>
      </c>
      <c r="AC39" s="8">
        <f t="shared" si="29"/>
        <v>55349636200</v>
      </c>
      <c r="AD39" s="63">
        <f t="shared" si="30"/>
        <v>66.54528012841304</v>
      </c>
      <c r="AE39" s="8">
        <f t="shared" si="31"/>
        <v>15235755068</v>
      </c>
      <c r="AF39" s="63">
        <f t="shared" si="32"/>
        <v>18.317511343786368</v>
      </c>
      <c r="AG39" s="8">
        <f t="shared" si="33"/>
        <v>70585391268</v>
      </c>
      <c r="AH39" s="9">
        <f t="shared" si="34"/>
        <v>84.862791472199405</v>
      </c>
    </row>
    <row r="40" spans="1:34" x14ac:dyDescent="0.2">
      <c r="A40" s="70" t="s">
        <v>55</v>
      </c>
      <c r="B40" s="8">
        <f>SUM([12]fga!$F$75)</f>
        <v>2613000000</v>
      </c>
      <c r="C40" s="58">
        <f t="shared" si="0"/>
        <v>3.9213802745170612E-2</v>
      </c>
      <c r="D40" s="8">
        <f>SUM([12]fga!$M$75)</f>
        <v>2413148497</v>
      </c>
      <c r="E40" s="63">
        <f t="shared" si="9"/>
        <v>92.351645503252968</v>
      </c>
      <c r="F40" s="8">
        <f t="shared" si="10"/>
        <v>166255441</v>
      </c>
      <c r="G40" s="63">
        <f t="shared" si="11"/>
        <v>6.3626269039418286</v>
      </c>
      <c r="H40" s="8">
        <f>SUM([12]fga!$J$75)</f>
        <v>2579403938</v>
      </c>
      <c r="I40" s="9">
        <f t="shared" si="12"/>
        <v>98.714272407194798</v>
      </c>
      <c r="J40" s="8"/>
      <c r="K40" s="58">
        <f t="shared" si="1"/>
        <v>0</v>
      </c>
      <c r="L40" s="8"/>
      <c r="M40" s="63">
        <f t="shared" si="23"/>
        <v>0</v>
      </c>
      <c r="N40" s="8">
        <f t="shared" si="24"/>
        <v>0</v>
      </c>
      <c r="O40" s="63">
        <f t="shared" si="25"/>
        <v>0</v>
      </c>
      <c r="P40" s="8"/>
      <c r="Q40" s="9">
        <f t="shared" si="15"/>
        <v>0</v>
      </c>
      <c r="R40" s="8">
        <f>SUM([12]fga!$F$86)</f>
        <v>707000000</v>
      </c>
      <c r="S40" s="58">
        <f t="shared" si="3"/>
        <v>9.3381401884811838E-2</v>
      </c>
      <c r="T40" s="8">
        <f>SUM([12]fga!$M$86)</f>
        <v>178842172</v>
      </c>
      <c r="U40" s="63">
        <f t="shared" si="26"/>
        <v>25.295922489391799</v>
      </c>
      <c r="V40" s="8">
        <f t="shared" si="27"/>
        <v>420507021</v>
      </c>
      <c r="W40" s="63">
        <f t="shared" si="28"/>
        <v>59.4776550212164</v>
      </c>
      <c r="X40" s="8">
        <f>SUM([12]fga!$J$86)</f>
        <v>599349193</v>
      </c>
      <c r="Y40" s="9">
        <f t="shared" si="18"/>
        <v>84.773577510608206</v>
      </c>
      <c r="Z40" s="8">
        <f>SUM([12]fga!$D$74)</f>
        <v>3320000000</v>
      </c>
      <c r="AA40" s="62">
        <f t="shared" si="19"/>
        <v>3320000000</v>
      </c>
      <c r="AB40" s="63">
        <f t="shared" si="35"/>
        <v>2.9337343332360571E-2</v>
      </c>
      <c r="AC40" s="8">
        <f t="shared" si="29"/>
        <v>2591990669</v>
      </c>
      <c r="AD40" s="63">
        <f t="shared" si="30"/>
        <v>78.07200810240964</v>
      </c>
      <c r="AE40" s="8">
        <f t="shared" si="31"/>
        <v>586762462</v>
      </c>
      <c r="AF40" s="63">
        <f t="shared" si="32"/>
        <v>17.673568132530121</v>
      </c>
      <c r="AG40" s="8">
        <f t="shared" si="33"/>
        <v>3178753131</v>
      </c>
      <c r="AH40" s="9">
        <f t="shared" si="34"/>
        <v>95.745576234939762</v>
      </c>
    </row>
    <row r="41" spans="1:34" x14ac:dyDescent="0.2">
      <c r="A41" s="70" t="s">
        <v>56</v>
      </c>
      <c r="B41" s="8">
        <f>SUM([12]orq!$F$79)</f>
        <v>14630947433</v>
      </c>
      <c r="C41" s="58">
        <f t="shared" si="0"/>
        <v>0.21956949353716887</v>
      </c>
      <c r="D41" s="8">
        <f>SUM([12]orq!$M$79)</f>
        <v>13048483067</v>
      </c>
      <c r="E41" s="63">
        <f t="shared" si="9"/>
        <v>89.184129235330573</v>
      </c>
      <c r="F41" s="8">
        <f t="shared" si="10"/>
        <v>1128048079</v>
      </c>
      <c r="G41" s="63">
        <f t="shared" si="11"/>
        <v>7.7100138877930453</v>
      </c>
      <c r="H41" s="8">
        <f>SUM([12]orq!$J$79)</f>
        <v>14176531146</v>
      </c>
      <c r="I41" s="9">
        <f t="shared" si="12"/>
        <v>96.894143123123612</v>
      </c>
      <c r="J41" s="8"/>
      <c r="K41" s="58">
        <f t="shared" si="1"/>
        <v>0</v>
      </c>
      <c r="L41" s="8"/>
      <c r="M41" s="63">
        <f t="shared" si="23"/>
        <v>0</v>
      </c>
      <c r="N41" s="8">
        <f t="shared" si="24"/>
        <v>0</v>
      </c>
      <c r="O41" s="63">
        <f t="shared" si="25"/>
        <v>0</v>
      </c>
      <c r="P41" s="8"/>
      <c r="Q41" s="9">
        <f t="shared" si="15"/>
        <v>0</v>
      </c>
      <c r="R41" s="8">
        <f>SUM([12]orq!$F$94)</f>
        <v>586000000</v>
      </c>
      <c r="S41" s="58">
        <f t="shared" si="3"/>
        <v>7.7399577799858191E-2</v>
      </c>
      <c r="T41" s="8">
        <f>SUM([12]orq!$M$94)</f>
        <v>539314022</v>
      </c>
      <c r="U41" s="63">
        <f t="shared" si="26"/>
        <v>92.033109556314002</v>
      </c>
      <c r="V41" s="8">
        <f t="shared" si="27"/>
        <v>21741506</v>
      </c>
      <c r="W41" s="63">
        <f t="shared" si="28"/>
        <v>3.7101546075085325</v>
      </c>
      <c r="X41" s="8">
        <f>SUM([12]orq!$J$94)</f>
        <v>561055528</v>
      </c>
      <c r="Y41" s="9">
        <f t="shared" si="18"/>
        <v>95.743264163822531</v>
      </c>
      <c r="Z41" s="8">
        <f>SUM([12]orq!$D$78)</f>
        <v>14917000000</v>
      </c>
      <c r="AA41" s="62">
        <f t="shared" si="19"/>
        <v>15216947433</v>
      </c>
      <c r="AB41" s="63">
        <f t="shared" si="35"/>
        <v>0.13446530461216985</v>
      </c>
      <c r="AC41" s="8">
        <f t="shared" si="29"/>
        <v>13587797089</v>
      </c>
      <c r="AD41" s="63">
        <f t="shared" si="30"/>
        <v>89.293842597714644</v>
      </c>
      <c r="AE41" s="8">
        <f t="shared" si="31"/>
        <v>1149789585</v>
      </c>
      <c r="AF41" s="63">
        <f t="shared" si="32"/>
        <v>7.5559805280428742</v>
      </c>
      <c r="AG41" s="8">
        <f t="shared" si="33"/>
        <v>14737586674</v>
      </c>
      <c r="AH41" s="9">
        <f t="shared" si="34"/>
        <v>96.849823125757524</v>
      </c>
    </row>
    <row r="42" spans="1:34" x14ac:dyDescent="0.2">
      <c r="A42" s="70" t="s">
        <v>57</v>
      </c>
      <c r="B42" s="8"/>
      <c r="C42" s="58">
        <f t="shared" si="0"/>
        <v>0</v>
      </c>
      <c r="D42" s="8"/>
      <c r="E42" s="63">
        <f t="shared" si="9"/>
        <v>0</v>
      </c>
      <c r="F42" s="8">
        <f t="shared" si="10"/>
        <v>0</v>
      </c>
      <c r="G42" s="63">
        <f t="shared" si="11"/>
        <v>0</v>
      </c>
      <c r="H42" s="8"/>
      <c r="I42" s="9">
        <f t="shared" si="12"/>
        <v>0</v>
      </c>
      <c r="J42" s="8"/>
      <c r="K42" s="58">
        <f t="shared" si="1"/>
        <v>0</v>
      </c>
      <c r="L42" s="8"/>
      <c r="M42" s="63">
        <f t="shared" si="23"/>
        <v>0</v>
      </c>
      <c r="N42" s="8">
        <f t="shared" si="24"/>
        <v>0</v>
      </c>
      <c r="O42" s="63">
        <f t="shared" si="25"/>
        <v>0</v>
      </c>
      <c r="P42" s="8"/>
      <c r="Q42" s="9">
        <f t="shared" si="15"/>
        <v>0</v>
      </c>
      <c r="R42" s="8">
        <f>SUM([12]fvs!$F$70)</f>
        <v>145502708938</v>
      </c>
      <c r="S42" s="58">
        <f t="shared" si="3"/>
        <v>19.218171058936605</v>
      </c>
      <c r="T42" s="8">
        <f>SUM([12]fvs!$M$70)</f>
        <v>87882409153</v>
      </c>
      <c r="U42" s="63">
        <f t="shared" si="26"/>
        <v>60.39915668542465</v>
      </c>
      <c r="V42" s="8">
        <f t="shared" si="27"/>
        <v>56198719068</v>
      </c>
      <c r="W42" s="63">
        <f t="shared" si="28"/>
        <v>38.623830084116697</v>
      </c>
      <c r="X42" s="8">
        <f>SUM([12]fvs!$J$70)</f>
        <v>144081128221</v>
      </c>
      <c r="Y42" s="9">
        <f t="shared" si="18"/>
        <v>99.022986769541347</v>
      </c>
      <c r="Z42" s="8">
        <f>SUM([12]fvs!$D$69)</f>
        <v>156335501000</v>
      </c>
      <c r="AA42" s="62">
        <f t="shared" si="19"/>
        <v>145502708938</v>
      </c>
      <c r="AB42" s="63">
        <f t="shared" si="35"/>
        <v>1.2857418457538057</v>
      </c>
      <c r="AC42" s="8">
        <f t="shared" si="29"/>
        <v>87882409153</v>
      </c>
      <c r="AD42" s="63">
        <f t="shared" si="30"/>
        <v>60.39915668542465</v>
      </c>
      <c r="AE42" s="8">
        <f t="shared" si="31"/>
        <v>56198719068</v>
      </c>
      <c r="AF42" s="63">
        <f t="shared" si="32"/>
        <v>38.623830084116697</v>
      </c>
      <c r="AG42" s="8">
        <f t="shared" si="33"/>
        <v>144081128221</v>
      </c>
      <c r="AH42" s="9">
        <f t="shared" si="34"/>
        <v>99.022986769541347</v>
      </c>
    </row>
    <row r="43" spans="1:34" x14ac:dyDescent="0.2">
      <c r="A43" s="70" t="s">
        <v>58</v>
      </c>
      <c r="B43" s="8"/>
      <c r="C43" s="58">
        <f t="shared" si="0"/>
        <v>0</v>
      </c>
      <c r="D43" s="8"/>
      <c r="E43" s="63">
        <f t="shared" si="9"/>
        <v>0</v>
      </c>
      <c r="F43" s="8">
        <f t="shared" si="10"/>
        <v>0</v>
      </c>
      <c r="G43" s="63">
        <f t="shared" si="11"/>
        <v>0</v>
      </c>
      <c r="H43" s="8"/>
      <c r="I43" s="9">
        <f t="shared" si="12"/>
        <v>0</v>
      </c>
      <c r="J43" s="8">
        <f>SUM([12]jar!$F$71)</f>
        <v>21062820037</v>
      </c>
      <c r="K43" s="58">
        <f t="shared" si="1"/>
        <v>0</v>
      </c>
      <c r="L43" s="8">
        <f>SUM([12]jar!$M$71)</f>
        <v>13572209753</v>
      </c>
      <c r="M43" s="63">
        <f t="shared" si="23"/>
        <v>64.436812018326023</v>
      </c>
      <c r="N43" s="8">
        <f t="shared" si="24"/>
        <v>7471963553</v>
      </c>
      <c r="O43" s="63">
        <f t="shared" si="25"/>
        <v>35.474658853251256</v>
      </c>
      <c r="P43" s="8">
        <f>SUM([12]jar!$J$71)</f>
        <v>21044173306</v>
      </c>
      <c r="Q43" s="9">
        <f t="shared" si="15"/>
        <v>99.911470871577293</v>
      </c>
      <c r="R43" s="8">
        <f>SUM([12]jar!$F$79)</f>
        <v>3397456000</v>
      </c>
      <c r="S43" s="58">
        <f t="shared" si="3"/>
        <v>0.44874003411876273</v>
      </c>
      <c r="T43" s="8">
        <f>SUM([12]jar!$M$79)</f>
        <v>2116318077</v>
      </c>
      <c r="U43" s="63">
        <f t="shared" si="26"/>
        <v>62.291257841161155</v>
      </c>
      <c r="V43" s="8">
        <f t="shared" si="27"/>
        <v>1278525540</v>
      </c>
      <c r="W43" s="63">
        <f t="shared" si="28"/>
        <v>37.631849831167791</v>
      </c>
      <c r="X43" s="8">
        <f>SUM([12]jar!$J$79)</f>
        <v>3394843617</v>
      </c>
      <c r="Y43" s="9">
        <f t="shared" si="18"/>
        <v>99.923107672328953</v>
      </c>
      <c r="Z43" s="8">
        <f>SUM([12]jar!$D$70)</f>
        <v>20400000000</v>
      </c>
      <c r="AA43" s="62">
        <f t="shared" si="19"/>
        <v>24460276037</v>
      </c>
      <c r="AB43" s="63">
        <f t="shared" si="35"/>
        <v>0.21614443256077739</v>
      </c>
      <c r="AC43" s="8">
        <f t="shared" si="29"/>
        <v>15688527830</v>
      </c>
      <c r="AD43" s="63">
        <f t="shared" si="30"/>
        <v>64.138801239481694</v>
      </c>
      <c r="AE43" s="8">
        <f t="shared" si="31"/>
        <v>8750489093</v>
      </c>
      <c r="AF43" s="63">
        <f t="shared" si="32"/>
        <v>35.774285947401054</v>
      </c>
      <c r="AG43" s="8">
        <f t="shared" si="33"/>
        <v>24439016923</v>
      </c>
      <c r="AH43" s="9">
        <f t="shared" si="34"/>
        <v>99.913087186882748</v>
      </c>
    </row>
    <row r="44" spans="1:34" ht="25.5" x14ac:dyDescent="0.2">
      <c r="A44" s="70" t="s">
        <v>59</v>
      </c>
      <c r="B44" s="8">
        <f>SUM([12]ide!$F$71)</f>
        <v>4768000000</v>
      </c>
      <c r="C44" s="58">
        <f t="shared" si="0"/>
        <v>7.1554309792948134E-2</v>
      </c>
      <c r="D44" s="8">
        <f>SUM([12]ide!$M$71)</f>
        <v>4201570094</v>
      </c>
      <c r="E44" s="63">
        <f t="shared" si="9"/>
        <v>88.120178145973142</v>
      </c>
      <c r="F44" s="8">
        <f t="shared" si="10"/>
        <v>498912203</v>
      </c>
      <c r="G44" s="63">
        <f t="shared" si="11"/>
        <v>10.46376264681208</v>
      </c>
      <c r="H44" s="8">
        <f>SUM([12]ide!$J$71)</f>
        <v>4700482297</v>
      </c>
      <c r="I44" s="9">
        <f t="shared" si="12"/>
        <v>98.583940792785228</v>
      </c>
      <c r="J44" s="8"/>
      <c r="K44" s="58">
        <f t="shared" si="1"/>
        <v>0</v>
      </c>
      <c r="L44" s="8"/>
      <c r="M44" s="63">
        <f t="shared" si="23"/>
        <v>0</v>
      </c>
      <c r="N44" s="8">
        <f t="shared" si="24"/>
        <v>0</v>
      </c>
      <c r="O44" s="63">
        <f t="shared" si="25"/>
        <v>0</v>
      </c>
      <c r="P44" s="8"/>
      <c r="Q44" s="9">
        <f t="shared" si="15"/>
        <v>0</v>
      </c>
      <c r="R44" s="8">
        <f>SUM([12]ide!$F$75)</f>
        <v>1258000000</v>
      </c>
      <c r="S44" s="58">
        <f t="shared" si="3"/>
        <v>0.16615813800720411</v>
      </c>
      <c r="T44" s="8">
        <f>SUM([12]ide!$M$75)</f>
        <v>559515610</v>
      </c>
      <c r="U44" s="63">
        <f t="shared" si="26"/>
        <v>44.476598569157396</v>
      </c>
      <c r="V44" s="8">
        <f t="shared" si="27"/>
        <v>33221555</v>
      </c>
      <c r="W44" s="63">
        <f t="shared" si="28"/>
        <v>2.6408231319554849</v>
      </c>
      <c r="X44" s="8">
        <f>SUM([12]ide!$J$75)</f>
        <v>592737165</v>
      </c>
      <c r="Y44" s="9">
        <f t="shared" si="18"/>
        <v>47.117421701112875</v>
      </c>
      <c r="Z44" s="8">
        <f>SUM([12]ide!$D$70)</f>
        <v>6026000000</v>
      </c>
      <c r="AA44" s="62">
        <f t="shared" si="19"/>
        <v>6026000000</v>
      </c>
      <c r="AB44" s="63">
        <f t="shared" si="35"/>
        <v>5.3249045458073734E-2</v>
      </c>
      <c r="AC44" s="8">
        <f t="shared" si="29"/>
        <v>4761085704</v>
      </c>
      <c r="AD44" s="63">
        <f t="shared" si="30"/>
        <v>79.009055824759372</v>
      </c>
      <c r="AE44" s="8">
        <f t="shared" si="31"/>
        <v>532133758</v>
      </c>
      <c r="AF44" s="63">
        <f t="shared" si="32"/>
        <v>8.830629903750415</v>
      </c>
      <c r="AG44" s="8">
        <f t="shared" si="33"/>
        <v>5293219462</v>
      </c>
      <c r="AH44" s="9">
        <f t="shared" si="34"/>
        <v>87.839685728509792</v>
      </c>
    </row>
    <row r="45" spans="1:34" ht="24.75" customHeight="1" x14ac:dyDescent="0.2">
      <c r="A45" s="70" t="s">
        <v>60</v>
      </c>
      <c r="B45" s="8"/>
      <c r="C45" s="58">
        <f t="shared" si="0"/>
        <v>0</v>
      </c>
      <c r="D45" s="8"/>
      <c r="E45" s="63">
        <f t="shared" si="9"/>
        <v>0</v>
      </c>
      <c r="F45" s="8">
        <f t="shared" si="10"/>
        <v>0</v>
      </c>
      <c r="G45" s="63">
        <f t="shared" si="11"/>
        <v>0</v>
      </c>
      <c r="H45" s="8"/>
      <c r="I45" s="9">
        <f t="shared" si="12"/>
        <v>0</v>
      </c>
      <c r="J45" s="8"/>
      <c r="K45" s="58">
        <f t="shared" si="1"/>
        <v>0</v>
      </c>
      <c r="L45" s="8"/>
      <c r="M45" s="63">
        <f t="shared" si="23"/>
        <v>0</v>
      </c>
      <c r="N45" s="8">
        <f t="shared" si="24"/>
        <v>0</v>
      </c>
      <c r="O45" s="63">
        <f t="shared" si="25"/>
        <v>0</v>
      </c>
      <c r="P45" s="8"/>
      <c r="Q45" s="9">
        <f t="shared" si="15"/>
        <v>0</v>
      </c>
      <c r="R45" s="8">
        <f>SUM([12]com!$F$72)</f>
        <v>18500000000</v>
      </c>
      <c r="S45" s="58">
        <f t="shared" si="3"/>
        <v>2.443502029517707</v>
      </c>
      <c r="T45" s="8">
        <f>SUM([12]com!$M$72)</f>
        <v>11081769162</v>
      </c>
      <c r="U45" s="63">
        <f t="shared" si="26"/>
        <v>59.901454929729724</v>
      </c>
      <c r="V45" s="8">
        <f t="shared" si="27"/>
        <v>7354843849</v>
      </c>
      <c r="W45" s="63">
        <f t="shared" si="28"/>
        <v>39.755912697297298</v>
      </c>
      <c r="X45" s="8">
        <f>SUM([12]com!$J$72)</f>
        <v>18436613011</v>
      </c>
      <c r="Y45" s="9">
        <f t="shared" si="18"/>
        <v>99.657367627027028</v>
      </c>
      <c r="Z45" s="8">
        <f>SUM([12]com!$D$71)</f>
        <v>18500000000</v>
      </c>
      <c r="AA45" s="62">
        <f t="shared" si="19"/>
        <v>18500000000</v>
      </c>
      <c r="AB45" s="63">
        <f t="shared" si="35"/>
        <v>0.16347616013514174</v>
      </c>
      <c r="AC45" s="8">
        <f t="shared" si="29"/>
        <v>11081769162</v>
      </c>
      <c r="AD45" s="63">
        <f t="shared" si="30"/>
        <v>59.901454929729724</v>
      </c>
      <c r="AE45" s="8">
        <f t="shared" si="31"/>
        <v>7354843849</v>
      </c>
      <c r="AF45" s="63">
        <f t="shared" si="32"/>
        <v>39.755912697297298</v>
      </c>
      <c r="AG45" s="8">
        <f t="shared" si="33"/>
        <v>18436613011</v>
      </c>
      <c r="AH45" s="9">
        <f t="shared" si="34"/>
        <v>99.657367627027028</v>
      </c>
    </row>
    <row r="46" spans="1:34" x14ac:dyDescent="0.2">
      <c r="A46" s="70" t="s">
        <v>61</v>
      </c>
      <c r="B46" s="8"/>
      <c r="C46" s="58">
        <f t="shared" si="0"/>
        <v>0</v>
      </c>
      <c r="D46" s="8"/>
      <c r="E46" s="63">
        <f t="shared" si="9"/>
        <v>0</v>
      </c>
      <c r="F46" s="8">
        <f t="shared" si="10"/>
        <v>0</v>
      </c>
      <c r="G46" s="63">
        <f t="shared" si="11"/>
        <v>0</v>
      </c>
      <c r="H46" s="8"/>
      <c r="I46" s="9">
        <f t="shared" si="12"/>
        <v>0</v>
      </c>
      <c r="J46" s="8"/>
      <c r="K46" s="58">
        <f t="shared" si="1"/>
        <v>0</v>
      </c>
      <c r="L46" s="8"/>
      <c r="M46" s="63">
        <f t="shared" si="23"/>
        <v>0</v>
      </c>
      <c r="N46" s="8">
        <f t="shared" si="24"/>
        <v>0</v>
      </c>
      <c r="O46" s="63">
        <f t="shared" si="25"/>
        <v>0</v>
      </c>
      <c r="P46" s="8"/>
      <c r="Q46" s="9">
        <f t="shared" si="15"/>
        <v>0</v>
      </c>
      <c r="R46" s="8">
        <f>SUM([12]cat!$F$71)</f>
        <v>13614706160</v>
      </c>
      <c r="S46" s="58">
        <f t="shared" si="3"/>
        <v>1.7982466017971475</v>
      </c>
      <c r="T46" s="8">
        <f>SUM([12]cat!$M$71)</f>
        <v>8034937115</v>
      </c>
      <c r="U46" s="63">
        <f t="shared" si="26"/>
        <v>59.01660322722676</v>
      </c>
      <c r="V46" s="8">
        <f t="shared" si="27"/>
        <v>3161050623</v>
      </c>
      <c r="W46" s="63">
        <f t="shared" si="28"/>
        <v>23.217912938049043</v>
      </c>
      <c r="X46" s="8">
        <f>SUM([12]cat!$J$71)</f>
        <v>11195987738</v>
      </c>
      <c r="Y46" s="9">
        <f t="shared" si="18"/>
        <v>82.234516165275792</v>
      </c>
      <c r="Z46" s="8">
        <f>SUM([12]cat!$D$70)</f>
        <v>14876328000</v>
      </c>
      <c r="AA46" s="62">
        <f t="shared" si="19"/>
        <v>13614706160</v>
      </c>
      <c r="AB46" s="63">
        <f t="shared" si="35"/>
        <v>0.12030702077865192</v>
      </c>
      <c r="AC46" s="8">
        <f t="shared" si="29"/>
        <v>8034937115</v>
      </c>
      <c r="AD46" s="63">
        <f t="shared" si="30"/>
        <v>59.01660322722676</v>
      </c>
      <c r="AE46" s="8">
        <f t="shared" si="31"/>
        <v>3161050623</v>
      </c>
      <c r="AF46" s="63">
        <f t="shared" si="32"/>
        <v>23.217912938049043</v>
      </c>
      <c r="AG46" s="8">
        <f t="shared" si="33"/>
        <v>11195987738</v>
      </c>
      <c r="AH46" s="9">
        <f t="shared" si="34"/>
        <v>82.234516165275792</v>
      </c>
    </row>
    <row r="47" spans="1:34" ht="25.5" x14ac:dyDescent="0.2">
      <c r="A47" s="70" t="s">
        <v>62</v>
      </c>
      <c r="B47" s="8"/>
      <c r="C47" s="58">
        <f t="shared" si="0"/>
        <v>0</v>
      </c>
      <c r="D47" s="8"/>
      <c r="E47" s="63">
        <f t="shared" si="9"/>
        <v>0</v>
      </c>
      <c r="F47" s="8">
        <f t="shared" si="10"/>
        <v>0</v>
      </c>
      <c r="G47" s="63">
        <f t="shared" si="11"/>
        <v>0</v>
      </c>
      <c r="H47" s="8"/>
      <c r="I47" s="9">
        <f t="shared" si="12"/>
        <v>0</v>
      </c>
      <c r="J47" s="8">
        <f>SUM([12]via!$F$76)</f>
        <v>184681655000</v>
      </c>
      <c r="K47" s="58">
        <f t="shared" si="1"/>
        <v>0</v>
      </c>
      <c r="L47" s="8">
        <f>SUM([12]via!$M$76)</f>
        <v>40484112317</v>
      </c>
      <c r="M47" s="63">
        <f t="shared" si="23"/>
        <v>21.921025299995282</v>
      </c>
      <c r="N47" s="8">
        <f t="shared" si="24"/>
        <v>81462133961</v>
      </c>
      <c r="O47" s="63">
        <f t="shared" si="25"/>
        <v>44.109488817933759</v>
      </c>
      <c r="P47" s="8">
        <f>SUM([12]via!$J$76)</f>
        <v>121946246278</v>
      </c>
      <c r="Q47" s="9">
        <f t="shared" si="15"/>
        <v>66.030514117929044</v>
      </c>
      <c r="R47" s="8">
        <f>SUM([12]via!$F$83)</f>
        <v>1500000000</v>
      </c>
      <c r="S47" s="58">
        <f t="shared" si="3"/>
        <v>0.1981217861771114</v>
      </c>
      <c r="T47" s="8">
        <f>SUM([12]via!$M$83)</f>
        <v>1377701418</v>
      </c>
      <c r="U47" s="63">
        <f t="shared" si="26"/>
        <v>91.846761200000003</v>
      </c>
      <c r="V47" s="8">
        <f t="shared" si="27"/>
        <v>120521372</v>
      </c>
      <c r="W47" s="63">
        <f t="shared" si="28"/>
        <v>8.0347581333333338</v>
      </c>
      <c r="X47" s="8">
        <f>SUM([12]via!$J$83)</f>
        <v>1498222790</v>
      </c>
      <c r="Y47" s="9">
        <f t="shared" si="18"/>
        <v>99.88151933333333</v>
      </c>
      <c r="Z47" s="8">
        <f>SUM([12]via!$D$75)</f>
        <v>189025655000</v>
      </c>
      <c r="AA47" s="62">
        <f t="shared" si="19"/>
        <v>186181655000</v>
      </c>
      <c r="AB47" s="63">
        <f t="shared" si="35"/>
        <v>1.6452033538922006</v>
      </c>
      <c r="AC47" s="8">
        <f t="shared" si="29"/>
        <v>41861813735</v>
      </c>
      <c r="AD47" s="63">
        <f t="shared" si="30"/>
        <v>22.484392318351667</v>
      </c>
      <c r="AE47" s="8">
        <f t="shared" si="31"/>
        <v>81582655333</v>
      </c>
      <c r="AF47" s="63">
        <f t="shared" si="32"/>
        <v>43.818847422427304</v>
      </c>
      <c r="AG47" s="8">
        <f t="shared" si="33"/>
        <v>123444469068</v>
      </c>
      <c r="AH47" s="9">
        <f t="shared" si="34"/>
        <v>66.303239740778977</v>
      </c>
    </row>
    <row r="48" spans="1:34" x14ac:dyDescent="0.2">
      <c r="A48" s="18" t="s">
        <v>63</v>
      </c>
      <c r="B48" s="8">
        <f>SUM([12]art!$F$71)</f>
        <v>76555134279</v>
      </c>
      <c r="C48" s="58">
        <f t="shared" si="0"/>
        <v>1.1488778931292596</v>
      </c>
      <c r="D48" s="8">
        <f>SUM([12]art!$M$71)</f>
        <v>62020939473</v>
      </c>
      <c r="E48" s="63">
        <f t="shared" si="9"/>
        <v>81.014735402290441</v>
      </c>
      <c r="F48" s="8">
        <f t="shared" si="10"/>
        <v>8948341431</v>
      </c>
      <c r="G48" s="63">
        <f t="shared" si="11"/>
        <v>11.68875414467745</v>
      </c>
      <c r="H48" s="8">
        <f>SUM([12]art!$J$71)</f>
        <v>70969280904</v>
      </c>
      <c r="I48" s="9">
        <f t="shared" si="12"/>
        <v>92.703489546967901</v>
      </c>
      <c r="J48" s="8"/>
      <c r="K48" s="58">
        <f t="shared" si="1"/>
        <v>0</v>
      </c>
      <c r="L48" s="8"/>
      <c r="M48" s="63">
        <f t="shared" si="23"/>
        <v>0</v>
      </c>
      <c r="N48" s="8">
        <f t="shared" si="24"/>
        <v>0</v>
      </c>
      <c r="O48" s="63">
        <f t="shared" si="25"/>
        <v>0</v>
      </c>
      <c r="P48" s="8"/>
      <c r="Q48" s="9">
        <f t="shared" si="15"/>
        <v>0</v>
      </c>
      <c r="R48" s="8">
        <f>SUM([12]art!$F$95)</f>
        <v>2450817000</v>
      </c>
      <c r="S48" s="58">
        <f t="shared" si="3"/>
        <v>0.32370682775548643</v>
      </c>
      <c r="T48" s="8">
        <f>SUM([12]art!$M$95)</f>
        <v>2418435713</v>
      </c>
      <c r="U48" s="63">
        <f t="shared" si="26"/>
        <v>98.678755410950714</v>
      </c>
      <c r="V48" s="8">
        <f t="shared" si="27"/>
        <v>26599387</v>
      </c>
      <c r="W48" s="63">
        <f t="shared" si="28"/>
        <v>1.085327341861918</v>
      </c>
      <c r="X48" s="8">
        <f>SUM([12]art!$J$95)</f>
        <v>2445035100</v>
      </c>
      <c r="Y48" s="9">
        <f t="shared" si="18"/>
        <v>99.764082752812627</v>
      </c>
      <c r="Z48" s="8">
        <f>SUM([12]art!$D$70)</f>
        <v>74105681000</v>
      </c>
      <c r="AA48" s="62">
        <f t="shared" si="19"/>
        <v>79005951279</v>
      </c>
      <c r="AB48" s="63">
        <f t="shared" si="35"/>
        <v>0.69813997529270322</v>
      </c>
      <c r="AC48" s="8">
        <f t="shared" si="29"/>
        <v>64439375186</v>
      </c>
      <c r="AD48" s="63">
        <f t="shared" si="30"/>
        <v>81.562685016525023</v>
      </c>
      <c r="AE48" s="8">
        <f t="shared" si="31"/>
        <v>8974940818</v>
      </c>
      <c r="AF48" s="63">
        <f t="shared" si="32"/>
        <v>11.359828813789075</v>
      </c>
      <c r="AG48" s="8">
        <f t="shared" si="33"/>
        <v>73414316004</v>
      </c>
      <c r="AH48" s="9">
        <f t="shared" si="34"/>
        <v>92.922513830314102</v>
      </c>
    </row>
    <row r="49" spans="1:35" x14ac:dyDescent="0.2">
      <c r="A49" s="70" t="s">
        <v>64</v>
      </c>
      <c r="B49" s="8">
        <f>SUM([12]ues!$F$76)</f>
        <v>8538694000</v>
      </c>
      <c r="C49" s="58">
        <f t="shared" si="0"/>
        <v>0.1281418531256685</v>
      </c>
      <c r="D49" s="8">
        <f>SUM([12]ues!$M$76)</f>
        <v>5092621838</v>
      </c>
      <c r="E49" s="63">
        <f t="shared" si="9"/>
        <v>59.641695064842473</v>
      </c>
      <c r="F49" s="8">
        <f t="shared" si="10"/>
        <v>2479112907</v>
      </c>
      <c r="G49" s="63">
        <f t="shared" si="11"/>
        <v>29.033865214047953</v>
      </c>
      <c r="H49" s="8">
        <f>SUM([12]ues!$J$76)</f>
        <v>7571734745</v>
      </c>
      <c r="I49" s="9">
        <f t="shared" si="12"/>
        <v>88.67556027889043</v>
      </c>
      <c r="J49" s="8">
        <f>SUM([12]ues!$F$82)</f>
        <v>173314518000</v>
      </c>
      <c r="K49" s="58">
        <f t="shared" si="1"/>
        <v>0</v>
      </c>
      <c r="L49" s="8">
        <f>SUM([12]ues!$M$82)</f>
        <v>141074381986</v>
      </c>
      <c r="M49" s="63">
        <f t="shared" si="23"/>
        <v>81.397902272676319</v>
      </c>
      <c r="N49" s="8">
        <f t="shared" si="24"/>
        <v>29270980538</v>
      </c>
      <c r="O49" s="63">
        <f t="shared" si="25"/>
        <v>16.888937450698734</v>
      </c>
      <c r="P49" s="8">
        <f>SUM([12]ues!$J$82)</f>
        <v>170345362524</v>
      </c>
      <c r="Q49" s="9">
        <f t="shared" si="15"/>
        <v>98.286839723375053</v>
      </c>
      <c r="R49" s="8">
        <f>SUM([12]ues!$F$91)</f>
        <v>5847813000</v>
      </c>
      <c r="S49" s="58">
        <f t="shared" si="3"/>
        <v>0.77238610452648826</v>
      </c>
      <c r="T49" s="8">
        <f>SUM([12]ues!$M$91)</f>
        <v>3285700269</v>
      </c>
      <c r="U49" s="63">
        <f t="shared" si="26"/>
        <v>56.186821791326089</v>
      </c>
      <c r="V49" s="8">
        <f t="shared" si="27"/>
        <v>2155545044</v>
      </c>
      <c r="W49" s="63">
        <f t="shared" si="28"/>
        <v>36.860704061501281</v>
      </c>
      <c r="X49" s="8">
        <f>SUM([12]ues!$J$91)</f>
        <v>5441245313</v>
      </c>
      <c r="Y49" s="9">
        <f t="shared" si="18"/>
        <v>93.047525852827377</v>
      </c>
      <c r="Z49" s="8">
        <f>SUM([12]ues!$D$75)</f>
        <v>187701025000</v>
      </c>
      <c r="AA49" s="62">
        <f t="shared" si="19"/>
        <v>187701025000</v>
      </c>
      <c r="AB49" s="63">
        <f t="shared" si="35"/>
        <v>1.6586293416448781</v>
      </c>
      <c r="AC49" s="8">
        <f t="shared" si="29"/>
        <v>149452704093</v>
      </c>
      <c r="AD49" s="63">
        <f t="shared" si="30"/>
        <v>79.62274265311018</v>
      </c>
      <c r="AE49" s="8">
        <f t="shared" si="31"/>
        <v>33905638489</v>
      </c>
      <c r="AF49" s="63">
        <f t="shared" si="32"/>
        <v>18.063640562964427</v>
      </c>
      <c r="AG49" s="8">
        <f t="shared" si="33"/>
        <v>183358342582</v>
      </c>
      <c r="AH49" s="9">
        <f t="shared" si="34"/>
        <v>97.686383216074603</v>
      </c>
    </row>
    <row r="50" spans="1:35" ht="15.75" thickBot="1" x14ac:dyDescent="0.25">
      <c r="A50" s="275" t="s">
        <v>65</v>
      </c>
      <c r="B50" s="28">
        <f>SUM(B30:B49)</f>
        <v>2403116794641</v>
      </c>
      <c r="C50" s="67">
        <f t="shared" si="0"/>
        <v>36.06404437759619</v>
      </c>
      <c r="D50" s="28">
        <f>SUM(D30:D49)</f>
        <v>1640536156331</v>
      </c>
      <c r="E50" s="67">
        <f t="shared" si="9"/>
        <v>68.267017233179402</v>
      </c>
      <c r="F50" s="28">
        <f t="shared" si="10"/>
        <v>304362406034</v>
      </c>
      <c r="G50" s="67">
        <f t="shared" si="11"/>
        <v>12.665318918861306</v>
      </c>
      <c r="H50" s="28">
        <f>SUM(H30:H49)</f>
        <v>1944898562365</v>
      </c>
      <c r="I50" s="29">
        <f t="shared" si="12"/>
        <v>80.932336152040705</v>
      </c>
      <c r="J50" s="28">
        <f>SUM(J30:J49)</f>
        <v>1822680470839</v>
      </c>
      <c r="K50" s="67">
        <f t="shared" si="1"/>
        <v>0</v>
      </c>
      <c r="L50" s="28">
        <f>SUM(L30:L49)</f>
        <v>331030195341</v>
      </c>
      <c r="M50" s="67">
        <f t="shared" si="23"/>
        <v>18.161723935552079</v>
      </c>
      <c r="N50" s="28">
        <f t="shared" si="24"/>
        <v>1074724222501</v>
      </c>
      <c r="O50" s="67">
        <f t="shared" si="25"/>
        <v>58.963940180161835</v>
      </c>
      <c r="P50" s="28">
        <f>SUM(P30:P49)</f>
        <v>1405754417842</v>
      </c>
      <c r="Q50" s="29">
        <f t="shared" si="15"/>
        <v>77.125664115713903</v>
      </c>
      <c r="R50" s="28">
        <f>SUM(R30:R49)</f>
        <v>284113395278</v>
      </c>
      <c r="S50" s="67">
        <f t="shared" si="3"/>
        <v>37.526035566214034</v>
      </c>
      <c r="T50" s="28">
        <f>SUM(T30:T49)</f>
        <v>177289018111</v>
      </c>
      <c r="U50" s="67">
        <f t="shared" si="26"/>
        <v>62.400795266103451</v>
      </c>
      <c r="V50" s="28">
        <f t="shared" si="27"/>
        <v>97642541768</v>
      </c>
      <c r="W50" s="67">
        <f t="shared" si="28"/>
        <v>34.367454470937027</v>
      </c>
      <c r="X50" s="28">
        <f>SUM(X30:X49)</f>
        <v>274931559879</v>
      </c>
      <c r="Y50" s="29">
        <f t="shared" si="18"/>
        <v>96.768249737040477</v>
      </c>
      <c r="Z50" s="28">
        <f>SUM(Z30:Z49)</f>
        <v>4817896555104</v>
      </c>
      <c r="AA50" s="66">
        <f>SUM(AA30:AA49)</f>
        <v>4509910660758</v>
      </c>
      <c r="AB50" s="67">
        <f t="shared" si="35"/>
        <v>39.852047425581496</v>
      </c>
      <c r="AC50" s="28">
        <f>SUM(AC30:AC49)</f>
        <v>2148855369783</v>
      </c>
      <c r="AD50" s="67">
        <f>IF(OR(AC50=0,AA50=0),0,AC50/AA50)*100</f>
        <v>47.647404381660913</v>
      </c>
      <c r="AE50" s="28">
        <f>SUM(AG50-AC50)</f>
        <v>1476729170303</v>
      </c>
      <c r="AF50" s="67">
        <f>IF(OR(AE50=0,AA50=0),0,AE50/AA50)*100</f>
        <v>32.744089215612085</v>
      </c>
      <c r="AG50" s="28">
        <f>SUM(AG30:AG49)</f>
        <v>3625584540086</v>
      </c>
      <c r="AH50" s="29">
        <f>IF(OR(AG50=0,AA50=0),0,AG50/AA50)*100</f>
        <v>80.391493597272998</v>
      </c>
    </row>
    <row r="51" spans="1:35" x14ac:dyDescent="0.2">
      <c r="A51" s="72" t="s">
        <v>66</v>
      </c>
      <c r="B51" s="8"/>
      <c r="C51" s="58">
        <f t="shared" si="0"/>
        <v>0</v>
      </c>
      <c r="D51" s="8"/>
      <c r="E51" s="58">
        <f t="shared" si="9"/>
        <v>0</v>
      </c>
      <c r="F51" s="33">
        <f t="shared" si="10"/>
        <v>0</v>
      </c>
      <c r="G51" s="58">
        <f t="shared" si="11"/>
        <v>0</v>
      </c>
      <c r="H51" s="8"/>
      <c r="I51" s="34">
        <f t="shared" si="12"/>
        <v>0</v>
      </c>
      <c r="J51" s="8"/>
      <c r="K51" s="58">
        <f t="shared" si="1"/>
        <v>0</v>
      </c>
      <c r="L51" s="8"/>
      <c r="M51" s="58">
        <f t="shared" si="23"/>
        <v>0</v>
      </c>
      <c r="N51" s="33">
        <f t="shared" si="24"/>
        <v>0</v>
      </c>
      <c r="O51" s="58">
        <f t="shared" si="25"/>
        <v>0</v>
      </c>
      <c r="P51" s="8"/>
      <c r="Q51" s="34">
        <f t="shared" si="15"/>
        <v>0</v>
      </c>
      <c r="R51" s="8">
        <f>SUM([12]con!$F$83)</f>
        <v>8163910000</v>
      </c>
      <c r="S51" s="58">
        <f t="shared" si="3"/>
        <v>1.0782989542594543</v>
      </c>
      <c r="T51" s="8">
        <f>SUM([12]con!$M$83)</f>
        <v>2747098016</v>
      </c>
      <c r="U51" s="58">
        <f t="shared" si="26"/>
        <v>33.649293243066133</v>
      </c>
      <c r="V51" s="33">
        <f t="shared" si="27"/>
        <v>4381400947</v>
      </c>
      <c r="W51" s="63">
        <f t="shared" si="28"/>
        <v>53.667923176517128</v>
      </c>
      <c r="X51" s="58">
        <f>SUM([12]con!$J$83)</f>
        <v>7128498963</v>
      </c>
      <c r="Y51" s="34">
        <f t="shared" si="18"/>
        <v>87.317216419583261</v>
      </c>
      <c r="Z51" s="8">
        <f>SUM([12]con!$D$83)</f>
        <v>8163910000</v>
      </c>
      <c r="AA51" s="62">
        <f>SUM(B51+J51+R51)</f>
        <v>8163910000</v>
      </c>
      <c r="AB51" s="63">
        <f t="shared" si="35"/>
        <v>7.2140792350750535E-2</v>
      </c>
      <c r="AC51" s="8">
        <f t="shared" ref="AC51:AC61" si="36">SUM(D51+L51+T51)</f>
        <v>2747098016</v>
      </c>
      <c r="AD51" s="63">
        <f>IF(OR(AC51=0,AA51=0),0,AC51/AA51)*100</f>
        <v>33.649293243066133</v>
      </c>
      <c r="AE51" s="8">
        <f t="shared" ref="AE51:AE61" si="37">SUM(F51+N51+V51)</f>
        <v>4381400947</v>
      </c>
      <c r="AF51" s="63">
        <f>IF(OR(AE51=0,AA51=0),0,AE51/AA51)*100</f>
        <v>53.667923176517128</v>
      </c>
      <c r="AG51" s="8">
        <f>SUM(AC51+AE51)</f>
        <v>7128498963</v>
      </c>
      <c r="AH51" s="9">
        <f>IF(OR(AG51=0,AA51=0),0,AG51/AA51)*100</f>
        <v>87.317216419583261</v>
      </c>
    </row>
    <row r="52" spans="1:35" ht="14.25" customHeight="1" thickBot="1" x14ac:dyDescent="0.25">
      <c r="A52" s="81" t="s">
        <v>183</v>
      </c>
      <c r="B52" s="8">
        <f>SUM([12]uni!$F$82)</f>
        <v>19983750000</v>
      </c>
      <c r="C52" s="73">
        <f t="shared" si="0"/>
        <v>0.29990004998423386</v>
      </c>
      <c r="D52" s="8">
        <f>SUM([12]uni!$M$82)</f>
        <v>3736979095</v>
      </c>
      <c r="E52" s="73">
        <f t="shared" si="9"/>
        <v>18.700089297554261</v>
      </c>
      <c r="F52" s="74">
        <f t="shared" si="10"/>
        <v>3516659907</v>
      </c>
      <c r="G52" s="73">
        <f t="shared" si="11"/>
        <v>17.597597583036219</v>
      </c>
      <c r="H52" s="8">
        <f>SUM([12]uni!$J$82)</f>
        <v>7253639002</v>
      </c>
      <c r="I52" s="75">
        <f t="shared" si="12"/>
        <v>36.297686880590483</v>
      </c>
      <c r="J52" s="8"/>
      <c r="K52" s="73">
        <f t="shared" si="1"/>
        <v>0</v>
      </c>
      <c r="L52" s="8"/>
      <c r="M52" s="73">
        <f t="shared" si="23"/>
        <v>0</v>
      </c>
      <c r="N52" s="74">
        <f t="shared" si="24"/>
        <v>0</v>
      </c>
      <c r="O52" s="73">
        <f t="shared" si="25"/>
        <v>0</v>
      </c>
      <c r="P52" s="8"/>
      <c r="Q52" s="75">
        <f t="shared" si="15"/>
        <v>0</v>
      </c>
      <c r="R52" s="8">
        <f>SUM([12]uni!$F$97)</f>
        <v>4950000000</v>
      </c>
      <c r="S52" s="73">
        <f t="shared" si="3"/>
        <v>0.65380189438446756</v>
      </c>
      <c r="T52" s="8">
        <f>SUM([12]uni!$M$97)</f>
        <v>700222390</v>
      </c>
      <c r="U52" s="73">
        <f t="shared" si="26"/>
        <v>14.14590686868687</v>
      </c>
      <c r="V52" s="74">
        <f t="shared" si="27"/>
        <v>850128913</v>
      </c>
      <c r="W52" s="73">
        <f t="shared" si="28"/>
        <v>17.174321474747476</v>
      </c>
      <c r="X52" s="8">
        <f>SUM([12]uni!$J$97)</f>
        <v>1550351303</v>
      </c>
      <c r="Y52" s="75">
        <f t="shared" si="18"/>
        <v>31.320228343434341</v>
      </c>
      <c r="Z52" s="8">
        <f>SUM([12]uni!$D$81)</f>
        <v>48000000000</v>
      </c>
      <c r="AA52" s="62">
        <f>SUM(B52+J52+R52)</f>
        <v>24933750000</v>
      </c>
      <c r="AB52" s="63">
        <f t="shared" si="35"/>
        <v>0.22032830852808596</v>
      </c>
      <c r="AC52" s="8">
        <f t="shared" si="36"/>
        <v>4437201485</v>
      </c>
      <c r="AD52" s="63">
        <f>IF(OR(AC52=0,AA52=0),0,AC52/AA52)*100</f>
        <v>17.795965247906953</v>
      </c>
      <c r="AE52" s="8">
        <f t="shared" si="37"/>
        <v>4366788820</v>
      </c>
      <c r="AF52" s="63">
        <f>IF(OR(AE52=0,AA52=0),0,AE52/AA52)*100</f>
        <v>17.513566230510854</v>
      </c>
      <c r="AG52" s="8">
        <f>SUM(AC52+AE52)</f>
        <v>8803990305</v>
      </c>
      <c r="AH52" s="9">
        <f>IF(OR(AG52=0,AA52=0),0,AG52/AA52)*100</f>
        <v>35.309531478417803</v>
      </c>
    </row>
    <row r="53" spans="1:35" ht="26.25" thickBot="1" x14ac:dyDescent="0.25">
      <c r="A53" s="276" t="s">
        <v>68</v>
      </c>
      <c r="B53" s="278">
        <f>SUM(B50:B52)</f>
        <v>2423100544641</v>
      </c>
      <c r="C53" s="277">
        <f t="shared" si="0"/>
        <v>36.363944427580428</v>
      </c>
      <c r="D53" s="278">
        <f>SUM(D50:D52)</f>
        <v>1644273135426</v>
      </c>
      <c r="E53" s="277">
        <f t="shared" si="9"/>
        <v>67.858229781777837</v>
      </c>
      <c r="F53" s="278">
        <f t="shared" si="10"/>
        <v>307879065941</v>
      </c>
      <c r="G53" s="277">
        <f t="shared" si="11"/>
        <v>12.705996316245082</v>
      </c>
      <c r="H53" s="278">
        <f>SUM(H50:H52)</f>
        <v>1952152201367</v>
      </c>
      <c r="I53" s="279">
        <f t="shared" si="12"/>
        <v>80.564226098022914</v>
      </c>
      <c r="J53" s="278">
        <f>SUM(J50:J52)</f>
        <v>1822680470839</v>
      </c>
      <c r="K53" s="277">
        <f t="shared" si="1"/>
        <v>0</v>
      </c>
      <c r="L53" s="278">
        <f>SUM(L50:L52)</f>
        <v>331030195341</v>
      </c>
      <c r="M53" s="277">
        <f t="shared" si="23"/>
        <v>18.161723935552079</v>
      </c>
      <c r="N53" s="278">
        <f t="shared" si="24"/>
        <v>1074724222501</v>
      </c>
      <c r="O53" s="277">
        <f t="shared" si="25"/>
        <v>58.963940180161835</v>
      </c>
      <c r="P53" s="278">
        <f>SUM(P50:P52)</f>
        <v>1405754417842</v>
      </c>
      <c r="Q53" s="279">
        <f t="shared" si="15"/>
        <v>77.125664115713903</v>
      </c>
      <c r="R53" s="278">
        <f>SUM(R50:R52)</f>
        <v>297227305278</v>
      </c>
      <c r="S53" s="277">
        <f t="shared" si="3"/>
        <v>39.258136414857951</v>
      </c>
      <c r="T53" s="278">
        <f>SUM(T50:T52)</f>
        <v>180736338517</v>
      </c>
      <c r="U53" s="277">
        <f t="shared" si="26"/>
        <v>60.807447804284095</v>
      </c>
      <c r="V53" s="278">
        <f t="shared" si="27"/>
        <v>102874071628</v>
      </c>
      <c r="W53" s="277">
        <f t="shared" si="28"/>
        <v>34.611245266238491</v>
      </c>
      <c r="X53" s="278">
        <f>SUM(X50:X52)</f>
        <v>283610410145</v>
      </c>
      <c r="Y53" s="279">
        <f t="shared" si="18"/>
        <v>95.418693070522593</v>
      </c>
      <c r="Z53" s="278">
        <f>SUM(Z50:Z52)</f>
        <v>4874060465104</v>
      </c>
      <c r="AA53" s="280">
        <f t="shared" ref="AA53:AA61" si="38">SUM(B53+J53+R53)</f>
        <v>4543008320758</v>
      </c>
      <c r="AB53" s="281">
        <f t="shared" si="35"/>
        <v>40.144516526460336</v>
      </c>
      <c r="AC53" s="40">
        <f t="shared" si="36"/>
        <v>2156039669284</v>
      </c>
      <c r="AD53" s="281">
        <f>IF(OR(AC53=0,AA53=0),0,AC53/AA53)*100</f>
        <v>47.458413391685475</v>
      </c>
      <c r="AE53" s="40">
        <f t="shared" si="37"/>
        <v>1485477360070</v>
      </c>
      <c r="AF53" s="281">
        <f>IF(OR(AE53=0,AA53=0),0,AE53/AA53)*100</f>
        <v>32.698099038967825</v>
      </c>
      <c r="AG53" s="40">
        <f>SUM(AC53+AE53)</f>
        <v>3641517029354</v>
      </c>
      <c r="AH53" s="41">
        <f>IF(OR(AG53=0,AA53=0),0,AG53/AA53)*100</f>
        <v>80.156512430653308</v>
      </c>
    </row>
    <row r="54" spans="1:35" ht="15.75" thickBot="1" x14ac:dyDescent="0.25">
      <c r="A54" s="272" t="s">
        <v>69</v>
      </c>
      <c r="B54" s="45">
        <f>SUM(B29+B53)</f>
        <v>6214802559072</v>
      </c>
      <c r="C54" s="79">
        <f t="shared" si="0"/>
        <v>93.266759147198968</v>
      </c>
      <c r="D54" s="45">
        <f>SUM(D29+D53)</f>
        <v>4595559684684</v>
      </c>
      <c r="E54" s="79">
        <f t="shared" si="9"/>
        <v>73.94538508670199</v>
      </c>
      <c r="F54" s="45">
        <f t="shared" si="10"/>
        <v>802953039580</v>
      </c>
      <c r="G54" s="79">
        <f t="shared" si="11"/>
        <v>12.920008832909694</v>
      </c>
      <c r="H54" s="45">
        <f>SUM(H29+H53)</f>
        <v>5398512724264</v>
      </c>
      <c r="I54" s="46">
        <f t="shared" si="12"/>
        <v>86.865393919611677</v>
      </c>
      <c r="J54" s="45">
        <f>SUM(J29+J53)</f>
        <v>2056443022690</v>
      </c>
      <c r="K54" s="79">
        <f t="shared" si="1"/>
        <v>0</v>
      </c>
      <c r="L54" s="45">
        <f>SUM(L29+L53)</f>
        <v>442267871996.95996</v>
      </c>
      <c r="M54" s="79">
        <f t="shared" si="23"/>
        <v>21.506449102510825</v>
      </c>
      <c r="N54" s="45">
        <f t="shared" si="24"/>
        <v>1163569925034.04</v>
      </c>
      <c r="O54" s="79">
        <f t="shared" si="25"/>
        <v>56.581675844925329</v>
      </c>
      <c r="P54" s="45">
        <f>SUM(P29+P53)</f>
        <v>1605837797031</v>
      </c>
      <c r="Q54" s="46">
        <f t="shared" si="15"/>
        <v>78.088124947436157</v>
      </c>
      <c r="R54" s="45">
        <f>SUM(R29+R53)</f>
        <v>716506726445</v>
      </c>
      <c r="S54" s="79">
        <f t="shared" si="3"/>
        <v>94.637061634132223</v>
      </c>
      <c r="T54" s="45">
        <f>SUM(T29+T53)</f>
        <v>499697982785</v>
      </c>
      <c r="U54" s="79">
        <f t="shared" si="26"/>
        <v>69.740864159683142</v>
      </c>
      <c r="V54" s="45">
        <f t="shared" si="27"/>
        <v>184988054132</v>
      </c>
      <c r="W54" s="79">
        <f t="shared" si="28"/>
        <v>25.818048498976644</v>
      </c>
      <c r="X54" s="45">
        <f>SUM(X29+X53)</f>
        <v>684686036917</v>
      </c>
      <c r="Y54" s="46">
        <f t="shared" si="18"/>
        <v>95.558912658659793</v>
      </c>
      <c r="Z54" s="45">
        <f>SUM(Z29+Z53)</f>
        <v>9355562307104</v>
      </c>
      <c r="AA54" s="78">
        <f t="shared" si="38"/>
        <v>8987752308207</v>
      </c>
      <c r="AB54" s="79">
        <f t="shared" si="35"/>
        <v>79.420715437374994</v>
      </c>
      <c r="AC54" s="45">
        <f t="shared" si="36"/>
        <v>5537525539465.96</v>
      </c>
      <c r="AD54" s="79">
        <f>IF(OR(AC54=0,AA54=0),0,AC54/AA54)*100</f>
        <v>61.611906398549401</v>
      </c>
      <c r="AE54" s="45">
        <f t="shared" si="37"/>
        <v>2151511018746.04</v>
      </c>
      <c r="AF54" s="79">
        <f>IF(OR(AE54=0,AA54=0),0,AE54/AA54)*100</f>
        <v>23.938254470825008</v>
      </c>
      <c r="AG54" s="45">
        <f>SUM(AC54+AE54)</f>
        <v>7689036558212</v>
      </c>
      <c r="AH54" s="46">
        <f>IF(OR(AG54=0,AA54=0),0,AG54/AA54)*100</f>
        <v>85.550160869374409</v>
      </c>
      <c r="AI54" s="274">
        <f>SUM(AA54-'[13]anual gastos'!$F$326)</f>
        <v>0</v>
      </c>
    </row>
    <row r="55" spans="1:35" x14ac:dyDescent="0.2">
      <c r="A55" s="72" t="s">
        <v>70</v>
      </c>
      <c r="B55" s="31">
        <f>SUM([14]geab!$F$327)</f>
        <v>277593635920</v>
      </c>
      <c r="C55" s="58">
        <f t="shared" si="0"/>
        <v>4.1659020598092571</v>
      </c>
      <c r="D55" s="31">
        <f>SUM([14]geab!$J$327)</f>
        <v>77808532810</v>
      </c>
      <c r="E55" s="58">
        <f t="shared" si="9"/>
        <v>28.029652968133504</v>
      </c>
      <c r="F55" s="33">
        <f t="shared" si="10"/>
        <v>172206025569</v>
      </c>
      <c r="G55" s="58">
        <f t="shared" si="11"/>
        <v>62.035293063645099</v>
      </c>
      <c r="H55" s="31">
        <f>SUM([14]geab!$N$327)</f>
        <v>250014558379</v>
      </c>
      <c r="I55" s="34">
        <f t="shared" si="12"/>
        <v>90.064946031778618</v>
      </c>
      <c r="J55" s="31">
        <f>SUM([14]geab!$F$684)</f>
        <v>347954580790</v>
      </c>
      <c r="K55" s="58">
        <f t="shared" si="1"/>
        <v>0</v>
      </c>
      <c r="L55" s="31">
        <f>SUM([14]geab!$J$684)</f>
        <v>205105535270</v>
      </c>
      <c r="M55" s="58">
        <f t="shared" si="23"/>
        <v>58.946065548074145</v>
      </c>
      <c r="N55" s="33">
        <f t="shared" si="24"/>
        <v>23490730016</v>
      </c>
      <c r="O55" s="58">
        <f t="shared" si="25"/>
        <v>6.7510908931465661</v>
      </c>
      <c r="P55" s="31">
        <f>SUM([14]geab!$N$684)</f>
        <v>228596265286</v>
      </c>
      <c r="Q55" s="34">
        <f t="shared" si="15"/>
        <v>65.697156441220699</v>
      </c>
      <c r="R55" s="31">
        <f>SUM([14]geab!$F$851)</f>
        <v>27926875233</v>
      </c>
      <c r="S55" s="58">
        <f t="shared" si="3"/>
        <v>3.6886149356715294</v>
      </c>
      <c r="T55" s="31">
        <f>SUM([14]geab!$J$851)</f>
        <v>16146161028</v>
      </c>
      <c r="U55" s="58">
        <f t="shared" si="26"/>
        <v>57.815852626865926</v>
      </c>
      <c r="V55" s="33">
        <f t="shared" si="27"/>
        <v>9588225472</v>
      </c>
      <c r="W55" s="58">
        <f t="shared" si="28"/>
        <v>34.333327277052476</v>
      </c>
      <c r="X55" s="31">
        <f>SUM([14]geab!$N$851)</f>
        <v>25734386500</v>
      </c>
      <c r="Y55" s="34">
        <f t="shared" si="18"/>
        <v>92.149179903918395</v>
      </c>
      <c r="Z55" s="31">
        <f>SUM([14]geab!$D$326)</f>
        <v>488877661231</v>
      </c>
      <c r="AA55" s="62">
        <f t="shared" si="38"/>
        <v>653475091943</v>
      </c>
      <c r="AB55" s="63">
        <f t="shared" si="35"/>
        <v>5.7744647986378554</v>
      </c>
      <c r="AC55" s="8">
        <f t="shared" si="36"/>
        <v>299060229108</v>
      </c>
      <c r="AD55" s="63">
        <f t="shared" ref="AD55:AD61" si="39">IF(OR(AC55=0,AA55=0),0,AC55/AA55)*100</f>
        <v>45.764594977720407</v>
      </c>
      <c r="AE55" s="8">
        <f t="shared" si="37"/>
        <v>205284981057</v>
      </c>
      <c r="AF55" s="63">
        <f t="shared" ref="AF55:AF61" si="40">IF(OR(AE55=0,AA55=0),0,AE55/AA55)*100</f>
        <v>31.414354363013146</v>
      </c>
      <c r="AG55" s="8">
        <f t="shared" ref="AG55:AG61" si="41">SUM(AC55+AE55)</f>
        <v>504345210165</v>
      </c>
      <c r="AH55" s="9">
        <f t="shared" ref="AH55:AH61" si="42">IF(OR(AG55=0,AA55=0),0,AG55/AA55)*100</f>
        <v>77.178949340733567</v>
      </c>
    </row>
    <row r="56" spans="1:35" x14ac:dyDescent="0.2">
      <c r="A56" s="258" t="s">
        <v>71</v>
      </c>
      <c r="B56" s="31"/>
      <c r="C56" s="58">
        <f t="shared" si="0"/>
        <v>0</v>
      </c>
      <c r="D56" s="31"/>
      <c r="E56" s="63">
        <f t="shared" si="9"/>
        <v>0</v>
      </c>
      <c r="F56" s="8">
        <f t="shared" si="10"/>
        <v>0</v>
      </c>
      <c r="G56" s="63">
        <f t="shared" si="11"/>
        <v>0</v>
      </c>
      <c r="H56" s="31"/>
      <c r="I56" s="9">
        <f t="shared" si="12"/>
        <v>0</v>
      </c>
      <c r="J56" s="31"/>
      <c r="K56" s="58">
        <f t="shared" si="1"/>
        <v>0</v>
      </c>
      <c r="L56" s="31"/>
      <c r="M56" s="63">
        <f t="shared" si="23"/>
        <v>0</v>
      </c>
      <c r="N56" s="8">
        <f t="shared" si="24"/>
        <v>0</v>
      </c>
      <c r="O56" s="63">
        <f t="shared" si="25"/>
        <v>0</v>
      </c>
      <c r="P56" s="31"/>
      <c r="Q56" s="9">
        <f t="shared" si="15"/>
        <v>0</v>
      </c>
      <c r="R56" s="31"/>
      <c r="S56" s="58">
        <f t="shared" si="3"/>
        <v>0</v>
      </c>
      <c r="T56" s="31"/>
      <c r="U56" s="63">
        <f t="shared" si="26"/>
        <v>0</v>
      </c>
      <c r="V56" s="8">
        <f t="shared" si="27"/>
        <v>0</v>
      </c>
      <c r="W56" s="63">
        <f t="shared" si="28"/>
        <v>0</v>
      </c>
      <c r="X56" s="31"/>
      <c r="Y56" s="9">
        <f t="shared" si="18"/>
        <v>0</v>
      </c>
      <c r="Z56" s="31"/>
      <c r="AA56" s="62">
        <f t="shared" si="38"/>
        <v>0</v>
      </c>
      <c r="AB56" s="63">
        <f t="shared" si="35"/>
        <v>0</v>
      </c>
      <c r="AC56" s="8">
        <f t="shared" si="36"/>
        <v>0</v>
      </c>
      <c r="AD56" s="63">
        <f t="shared" si="39"/>
        <v>0</v>
      </c>
      <c r="AE56" s="8">
        <f t="shared" si="37"/>
        <v>0</v>
      </c>
      <c r="AF56" s="63">
        <f t="shared" si="40"/>
        <v>0</v>
      </c>
      <c r="AG56" s="8">
        <f t="shared" si="41"/>
        <v>0</v>
      </c>
      <c r="AH56" s="9">
        <f t="shared" si="42"/>
        <v>0</v>
      </c>
    </row>
    <row r="57" spans="1:35" x14ac:dyDescent="0.2">
      <c r="A57" s="258" t="s">
        <v>72</v>
      </c>
      <c r="B57" s="31"/>
      <c r="C57" s="58">
        <f t="shared" si="0"/>
        <v>0</v>
      </c>
      <c r="D57" s="31"/>
      <c r="E57" s="63">
        <f t="shared" si="9"/>
        <v>0</v>
      </c>
      <c r="F57" s="8">
        <f t="shared" si="10"/>
        <v>0</v>
      </c>
      <c r="G57" s="63">
        <f t="shared" si="11"/>
        <v>0</v>
      </c>
      <c r="H57" s="31"/>
      <c r="I57" s="9">
        <f t="shared" si="12"/>
        <v>0</v>
      </c>
      <c r="J57" s="31"/>
      <c r="K57" s="58">
        <f t="shared" si="1"/>
        <v>0</v>
      </c>
      <c r="L57" s="31"/>
      <c r="M57" s="63">
        <f t="shared" si="23"/>
        <v>0</v>
      </c>
      <c r="N57" s="8">
        <f t="shared" si="24"/>
        <v>0</v>
      </c>
      <c r="O57" s="63">
        <f t="shared" si="25"/>
        <v>0</v>
      </c>
      <c r="P57" s="31"/>
      <c r="Q57" s="9">
        <f t="shared" si="15"/>
        <v>0</v>
      </c>
      <c r="R57" s="31">
        <f>SUM([14]glot!$F$851)</f>
        <v>496742426</v>
      </c>
      <c r="S57" s="58">
        <f t="shared" si="3"/>
        <v>6.5610331139381042E-2</v>
      </c>
      <c r="T57" s="31">
        <f>SUM([14]glot!$J$851)</f>
        <v>275187349</v>
      </c>
      <c r="U57" s="63">
        <f t="shared" si="26"/>
        <v>55.398398565617988</v>
      </c>
      <c r="V57" s="8">
        <f t="shared" si="27"/>
        <v>216419455</v>
      </c>
      <c r="W57" s="63">
        <f t="shared" si="28"/>
        <v>43.567741282481073</v>
      </c>
      <c r="X57" s="31">
        <f>SUM([14]glot!$N$851)</f>
        <v>491606804</v>
      </c>
      <c r="Y57" s="9">
        <f t="shared" si="18"/>
        <v>98.966139848099061</v>
      </c>
      <c r="Z57" s="31">
        <f>SUM([14]glot!$D$326)</f>
        <v>371000000</v>
      </c>
      <c r="AA57" s="62">
        <f t="shared" si="38"/>
        <v>496742426</v>
      </c>
      <c r="AB57" s="63">
        <f t="shared" si="35"/>
        <v>4.3894888853348536E-3</v>
      </c>
      <c r="AC57" s="8">
        <f t="shared" si="36"/>
        <v>275187349</v>
      </c>
      <c r="AD57" s="63">
        <f t="shared" si="39"/>
        <v>55.398398565617988</v>
      </c>
      <c r="AE57" s="8">
        <f t="shared" si="37"/>
        <v>216419455</v>
      </c>
      <c r="AF57" s="63">
        <f t="shared" si="40"/>
        <v>43.567741282481073</v>
      </c>
      <c r="AG57" s="8">
        <f t="shared" si="41"/>
        <v>491606804</v>
      </c>
      <c r="AH57" s="9">
        <f t="shared" si="42"/>
        <v>98.966139848099061</v>
      </c>
    </row>
    <row r="58" spans="1:35" x14ac:dyDescent="0.2">
      <c r="A58" s="258" t="s">
        <v>73</v>
      </c>
      <c r="B58" s="31">
        <f>SUM([14]gtra!$F$851)</f>
        <v>13285627578</v>
      </c>
      <c r="C58" s="58">
        <f t="shared" si="0"/>
        <v>0.1993800149978916</v>
      </c>
      <c r="D58" s="31">
        <f>SUM([14]gtra!$J$851)</f>
        <v>4322553233</v>
      </c>
      <c r="E58" s="63">
        <f t="shared" si="9"/>
        <v>32.53555925470787</v>
      </c>
      <c r="F58" s="8">
        <f t="shared" si="10"/>
        <v>7847493999</v>
      </c>
      <c r="G58" s="63">
        <f t="shared" si="11"/>
        <v>59.067544629919176</v>
      </c>
      <c r="H58" s="31">
        <f>SUM([14]gtra!$N$851)</f>
        <v>12170047232</v>
      </c>
      <c r="I58" s="9">
        <f t="shared" si="12"/>
        <v>91.603103884627046</v>
      </c>
      <c r="J58" s="31">
        <f>SUM([14]gtra!$F$684)</f>
        <v>1491657060186</v>
      </c>
      <c r="K58" s="58">
        <f t="shared" si="1"/>
        <v>0</v>
      </c>
      <c r="L58" s="31">
        <f>SUM([14]gtra!$J$684)</f>
        <v>924884863184</v>
      </c>
      <c r="M58" s="63">
        <f t="shared" si="23"/>
        <v>62.003853826071307</v>
      </c>
      <c r="N58" s="8">
        <f t="shared" si="24"/>
        <v>507819297637</v>
      </c>
      <c r="O58" s="63">
        <f t="shared" si="25"/>
        <v>34.043971043429934</v>
      </c>
      <c r="P58" s="31">
        <f>SUM([14]gtra!$N$684)</f>
        <v>1432704160821</v>
      </c>
      <c r="Q58" s="9">
        <f t="shared" si="15"/>
        <v>96.047824869501241</v>
      </c>
      <c r="R58" s="31"/>
      <c r="S58" s="58">
        <f t="shared" si="3"/>
        <v>0</v>
      </c>
      <c r="T58" s="31"/>
      <c r="U58" s="63">
        <f t="shared" si="26"/>
        <v>0</v>
      </c>
      <c r="V58" s="8">
        <f t="shared" si="27"/>
        <v>0</v>
      </c>
      <c r="W58" s="63">
        <f t="shared" si="28"/>
        <v>0</v>
      </c>
      <c r="X58" s="31"/>
      <c r="Y58" s="9">
        <f t="shared" si="18"/>
        <v>0</v>
      </c>
      <c r="Z58" s="31">
        <f>SUM([14]gtra!$D$326)</f>
        <v>1570349903167</v>
      </c>
      <c r="AA58" s="62">
        <f t="shared" si="38"/>
        <v>1504942687764</v>
      </c>
      <c r="AB58" s="63">
        <f t="shared" si="35"/>
        <v>13.298500098330718</v>
      </c>
      <c r="AC58" s="8">
        <f t="shared" si="36"/>
        <v>929207416417</v>
      </c>
      <c r="AD58" s="63">
        <f t="shared" si="39"/>
        <v>61.743707848276216</v>
      </c>
      <c r="AE58" s="8">
        <f t="shared" si="37"/>
        <v>515666791636</v>
      </c>
      <c r="AF58" s="63">
        <f t="shared" si="40"/>
        <v>34.264879043477912</v>
      </c>
      <c r="AG58" s="8">
        <f t="shared" si="41"/>
        <v>1444874208053</v>
      </c>
      <c r="AH58" s="9">
        <f t="shared" si="42"/>
        <v>96.008586891754135</v>
      </c>
    </row>
    <row r="59" spans="1:35" x14ac:dyDescent="0.2">
      <c r="A59" s="258" t="s">
        <v>74</v>
      </c>
      <c r="B59" s="31">
        <f>SUM([14]gcan!$F$327)</f>
        <v>8600713300</v>
      </c>
      <c r="C59" s="58">
        <f t="shared" si="0"/>
        <v>0.12907258890699019</v>
      </c>
      <c r="D59" s="31">
        <f>SUM([14]gcan!$J$327)</f>
        <v>7291399461</v>
      </c>
      <c r="E59" s="63">
        <f t="shared" si="9"/>
        <v>84.776683126968095</v>
      </c>
      <c r="F59" s="8">
        <f t="shared" si="10"/>
        <v>721803286</v>
      </c>
      <c r="G59" s="63">
        <f t="shared" si="11"/>
        <v>8.3923653867174011</v>
      </c>
      <c r="H59" s="31">
        <f>SUM([14]gcan!$N$327)</f>
        <v>8013202747</v>
      </c>
      <c r="I59" s="9">
        <f t="shared" si="12"/>
        <v>93.169048513685482</v>
      </c>
      <c r="J59" s="31"/>
      <c r="K59" s="58">
        <f t="shared" si="1"/>
        <v>0</v>
      </c>
      <c r="L59" s="31"/>
      <c r="M59" s="63">
        <f t="shared" si="23"/>
        <v>0</v>
      </c>
      <c r="N59" s="8">
        <f t="shared" si="24"/>
        <v>0</v>
      </c>
      <c r="O59" s="63">
        <f t="shared" si="25"/>
        <v>0</v>
      </c>
      <c r="P59" s="31"/>
      <c r="Q59" s="9">
        <f t="shared" si="15"/>
        <v>0</v>
      </c>
      <c r="R59" s="31">
        <f>SUM([14]gcan!$F$851)</f>
        <v>6860998539</v>
      </c>
      <c r="S59" s="58">
        <f t="shared" si="3"/>
        <v>0.90620885700348786</v>
      </c>
      <c r="T59" s="31">
        <f>SUM([14]gcan!$J$851)</f>
        <v>127713666</v>
      </c>
      <c r="U59" s="63">
        <f t="shared" si="26"/>
        <v>1.861444296687089</v>
      </c>
      <c r="V59" s="8">
        <f t="shared" si="27"/>
        <v>156279014</v>
      </c>
      <c r="W59" s="63">
        <f t="shared" si="28"/>
        <v>2.2777881836246228</v>
      </c>
      <c r="X59" s="31">
        <f>SUM([14]gcan!$N$851)</f>
        <v>283992680</v>
      </c>
      <c r="Y59" s="9">
        <f t="shared" si="18"/>
        <v>4.139232480311712</v>
      </c>
      <c r="Z59" s="31">
        <f>SUM([14]gcan!$D$326)</f>
        <v>14850000000</v>
      </c>
      <c r="AA59" s="62">
        <f t="shared" si="38"/>
        <v>15461711839</v>
      </c>
      <c r="AB59" s="63">
        <f t="shared" si="35"/>
        <v>0.13662817732733951</v>
      </c>
      <c r="AC59" s="8">
        <f t="shared" si="36"/>
        <v>7419113127</v>
      </c>
      <c r="AD59" s="63">
        <f t="shared" si="39"/>
        <v>47.983775692199409</v>
      </c>
      <c r="AE59" s="8">
        <f t="shared" si="37"/>
        <v>878082300</v>
      </c>
      <c r="AF59" s="63">
        <f t="shared" si="40"/>
        <v>5.6790755716010732</v>
      </c>
      <c r="AG59" s="8">
        <f t="shared" si="41"/>
        <v>8297195427</v>
      </c>
      <c r="AH59" s="9">
        <f t="shared" si="42"/>
        <v>53.662851263800484</v>
      </c>
    </row>
    <row r="60" spans="1:35" x14ac:dyDescent="0.2">
      <c r="A60" s="258" t="s">
        <v>75</v>
      </c>
      <c r="B60" s="31">
        <f>SUM([14]geru!$F$327)</f>
        <v>14804740776</v>
      </c>
      <c r="C60" s="58">
        <f t="shared" si="0"/>
        <v>0.22217764427227252</v>
      </c>
      <c r="D60" s="31">
        <f>SUM([14]geru!$J$327)</f>
        <v>9731502394</v>
      </c>
      <c r="E60" s="63">
        <f t="shared" si="9"/>
        <v>65.732338993572654</v>
      </c>
      <c r="F60" s="8">
        <f t="shared" si="10"/>
        <v>2469853522</v>
      </c>
      <c r="G60" s="63">
        <f t="shared" si="11"/>
        <v>16.682855575586203</v>
      </c>
      <c r="H60" s="31">
        <f>SUM([14]geru!$N$327)</f>
        <v>12201355916</v>
      </c>
      <c r="I60" s="9">
        <f t="shared" si="12"/>
        <v>82.415194569158871</v>
      </c>
      <c r="J60" s="31"/>
      <c r="K60" s="58">
        <f t="shared" si="1"/>
        <v>0</v>
      </c>
      <c r="L60" s="31"/>
      <c r="M60" s="63">
        <f t="shared" si="23"/>
        <v>0</v>
      </c>
      <c r="N60" s="8">
        <f t="shared" si="24"/>
        <v>0</v>
      </c>
      <c r="O60" s="63">
        <f t="shared" si="25"/>
        <v>0</v>
      </c>
      <c r="P60" s="31"/>
      <c r="Q60" s="9">
        <f t="shared" si="15"/>
        <v>0</v>
      </c>
      <c r="R60" s="31">
        <f>SUM([14]geru!$F$851)</f>
        <v>1192682595</v>
      </c>
      <c r="S60" s="58">
        <f t="shared" si="3"/>
        <v>0.1575309373758349</v>
      </c>
      <c r="T60" s="31">
        <f>SUM([14]geru!$J$851)</f>
        <v>622680970</v>
      </c>
      <c r="U60" s="63">
        <f t="shared" si="26"/>
        <v>52.208439413002417</v>
      </c>
      <c r="V60" s="8">
        <f t="shared" si="27"/>
        <v>463927042</v>
      </c>
      <c r="W60" s="63">
        <f t="shared" si="28"/>
        <v>38.897779169821789</v>
      </c>
      <c r="X60" s="31">
        <f>SUM([14]geru!$N$851)</f>
        <v>1086608012</v>
      </c>
      <c r="Y60" s="9">
        <f t="shared" si="18"/>
        <v>91.106218582824212</v>
      </c>
      <c r="Z60" s="31">
        <f>SUM([14]geru!$D$325)</f>
        <v>4731653789</v>
      </c>
      <c r="AA60" s="62">
        <f t="shared" si="38"/>
        <v>15997423371</v>
      </c>
      <c r="AB60" s="63">
        <f t="shared" si="35"/>
        <v>0.14136201863498676</v>
      </c>
      <c r="AC60" s="8">
        <f t="shared" si="36"/>
        <v>10354183364</v>
      </c>
      <c r="AD60" s="63">
        <f t="shared" si="39"/>
        <v>64.724069144597252</v>
      </c>
      <c r="AE60" s="8">
        <f t="shared" si="37"/>
        <v>2933780564</v>
      </c>
      <c r="AF60" s="63">
        <f t="shared" si="40"/>
        <v>18.339081838131094</v>
      </c>
      <c r="AG60" s="8">
        <f t="shared" si="41"/>
        <v>13287963928</v>
      </c>
      <c r="AH60" s="9">
        <f t="shared" si="42"/>
        <v>83.063150982728345</v>
      </c>
    </row>
    <row r="61" spans="1:35" ht="15.75" thickBot="1" x14ac:dyDescent="0.25">
      <c r="A61" s="348" t="s">
        <v>76</v>
      </c>
      <c r="B61" s="31">
        <f>SUM([14]gmet!$F$327)</f>
        <v>61859447662</v>
      </c>
      <c r="C61" s="60">
        <f t="shared" si="0"/>
        <v>0.92833684597890298</v>
      </c>
      <c r="D61" s="31">
        <f>SUM([14]gmet!$J$327)</f>
        <v>53642131629</v>
      </c>
      <c r="E61" s="283">
        <f t="shared" si="9"/>
        <v>86.716150331798275</v>
      </c>
      <c r="F61" s="284">
        <f t="shared" si="10"/>
        <v>6911751361</v>
      </c>
      <c r="G61" s="283">
        <f t="shared" si="11"/>
        <v>11.17331567324333</v>
      </c>
      <c r="H61" s="31">
        <f>SUM([14]gmet!$N$327)</f>
        <v>60553882990</v>
      </c>
      <c r="I61" s="285">
        <f t="shared" si="12"/>
        <v>97.889466005041612</v>
      </c>
      <c r="J61" s="31"/>
      <c r="K61" s="60">
        <f t="shared" si="1"/>
        <v>0</v>
      </c>
      <c r="L61" s="31"/>
      <c r="M61" s="283">
        <f t="shared" si="23"/>
        <v>0</v>
      </c>
      <c r="N61" s="284">
        <f t="shared" si="24"/>
        <v>0</v>
      </c>
      <c r="O61" s="283">
        <f t="shared" si="25"/>
        <v>0</v>
      </c>
      <c r="P61" s="31"/>
      <c r="Q61" s="285">
        <f t="shared" si="15"/>
        <v>0</v>
      </c>
      <c r="R61" s="31">
        <f>SUM([14]gmet!$F$851)</f>
        <v>2224392343</v>
      </c>
      <c r="S61" s="60">
        <f t="shared" si="3"/>
        <v>0.29380038943589992</v>
      </c>
      <c r="T61" s="31">
        <f>SUM([14]gmet!$J$851)</f>
        <v>869173469</v>
      </c>
      <c r="U61" s="283">
        <f t="shared" si="26"/>
        <v>39.074647587923295</v>
      </c>
      <c r="V61" s="284">
        <f t="shared" si="27"/>
        <v>1281302097</v>
      </c>
      <c r="W61" s="283">
        <f t="shared" si="28"/>
        <v>57.60234254681572</v>
      </c>
      <c r="X61" s="31">
        <f>SUM([14]gmet!$N$851)</f>
        <v>2150475566</v>
      </c>
      <c r="Y61" s="285">
        <f t="shared" si="18"/>
        <v>96.676990134739015</v>
      </c>
      <c r="Z61" s="31">
        <f>SUM([14]gmet!$D$326)</f>
        <v>35680567086</v>
      </c>
      <c r="AA61" s="62">
        <f t="shared" si="38"/>
        <v>64083840005</v>
      </c>
      <c r="AB61" s="63">
        <f t="shared" si="35"/>
        <v>0.5662800049044423</v>
      </c>
      <c r="AC61" s="8">
        <f t="shared" si="36"/>
        <v>54511305098</v>
      </c>
      <c r="AD61" s="63">
        <f t="shared" si="39"/>
        <v>85.06248235709171</v>
      </c>
      <c r="AE61" s="8">
        <f t="shared" si="37"/>
        <v>8193053458</v>
      </c>
      <c r="AF61" s="63">
        <f t="shared" si="40"/>
        <v>12.784897810993778</v>
      </c>
      <c r="AG61" s="8">
        <f t="shared" si="41"/>
        <v>62704358556</v>
      </c>
      <c r="AH61" s="9">
        <f t="shared" si="42"/>
        <v>97.847380168085479</v>
      </c>
    </row>
    <row r="62" spans="1:35" ht="15.75" thickBot="1" x14ac:dyDescent="0.25">
      <c r="A62" s="84" t="s">
        <v>77</v>
      </c>
      <c r="B62" s="43">
        <f>SUM(B55:B61)</f>
        <v>376144165236</v>
      </c>
      <c r="C62" s="79">
        <f t="shared" si="0"/>
        <v>5.6448691539653133</v>
      </c>
      <c r="D62" s="43">
        <f>SUM(D55:D61)</f>
        <v>152796119527</v>
      </c>
      <c r="E62" s="79">
        <f t="shared" si="9"/>
        <v>40.621690736883501</v>
      </c>
      <c r="F62" s="45">
        <f t="shared" si="10"/>
        <v>190156927737</v>
      </c>
      <c r="G62" s="79">
        <f t="shared" si="11"/>
        <v>50.554267568577579</v>
      </c>
      <c r="H62" s="43">
        <f>SUM(H55:H61)</f>
        <v>342953047264</v>
      </c>
      <c r="I62" s="46">
        <f t="shared" si="12"/>
        <v>91.17595830546108</v>
      </c>
      <c r="J62" s="43">
        <f>SUM(J55:J61)</f>
        <v>1839611640976</v>
      </c>
      <c r="K62" s="79">
        <f t="shared" si="1"/>
        <v>0</v>
      </c>
      <c r="L62" s="43">
        <f>SUM(L55:L61)</f>
        <v>1129990398454</v>
      </c>
      <c r="M62" s="79">
        <f t="shared" si="23"/>
        <v>61.425486406168162</v>
      </c>
      <c r="N62" s="45">
        <f t="shared" si="24"/>
        <v>531310027653</v>
      </c>
      <c r="O62" s="79">
        <f t="shared" si="25"/>
        <v>28.881640875631508</v>
      </c>
      <c r="P62" s="43">
        <f>SUM(P55:P61)</f>
        <v>1661300426107</v>
      </c>
      <c r="Q62" s="46">
        <f t="shared" si="15"/>
        <v>90.307127281799666</v>
      </c>
      <c r="R62" s="43">
        <f>SUM(R55:R61)</f>
        <v>38701691136</v>
      </c>
      <c r="S62" s="79">
        <f t="shared" si="3"/>
        <v>5.111765450626133</v>
      </c>
      <c r="T62" s="43">
        <f>SUM(T55:T61)</f>
        <v>18040916482</v>
      </c>
      <c r="U62" s="79">
        <f t="shared" si="26"/>
        <v>46.615318226284138</v>
      </c>
      <c r="V62" s="45">
        <f t="shared" si="27"/>
        <v>11706153080</v>
      </c>
      <c r="W62" s="79">
        <f t="shared" si="28"/>
        <v>30.247135813429693</v>
      </c>
      <c r="X62" s="43">
        <f>SUM(X55:X61)</f>
        <v>29747069562</v>
      </c>
      <c r="Y62" s="46">
        <f t="shared" si="18"/>
        <v>76.862454039713825</v>
      </c>
      <c r="Z62" s="43">
        <f>SUM(Z55:Z61)</f>
        <v>2114860785273</v>
      </c>
      <c r="AA62" s="78">
        <f>SUM(AA55:AA61)</f>
        <v>2254457497348</v>
      </c>
      <c r="AB62" s="79">
        <f t="shared" si="35"/>
        <v>19.921624586720675</v>
      </c>
      <c r="AC62" s="45">
        <f>SUM(AC55:AC61)</f>
        <v>1300827434463</v>
      </c>
      <c r="AD62" s="79">
        <f>IF(OR(AC62=0,AA62=0),0,AC62/AA62)*100</f>
        <v>57.700242120031554</v>
      </c>
      <c r="AE62" s="45">
        <f>SUM(AG62-AC62)</f>
        <v>733173108470</v>
      </c>
      <c r="AF62" s="79">
        <f>IF(OR(AE62=0,AA62=0),0,AE62/AA62)*100</f>
        <v>32.521043724818853</v>
      </c>
      <c r="AG62" s="45">
        <f>SUM(AG55:AG61)</f>
        <v>2034000542933</v>
      </c>
      <c r="AH62" s="46">
        <f>IF(OR(AG62=0,AA62=0),0,AG62/AA62)*100</f>
        <v>90.221285844850414</v>
      </c>
    </row>
    <row r="63" spans="1:35" x14ac:dyDescent="0.2">
      <c r="A63" s="80" t="s">
        <v>78</v>
      </c>
      <c r="B63" s="33">
        <f>SUM('[15]G VICTORIA'!$O$174)</f>
        <v>768268000</v>
      </c>
      <c r="C63" s="58">
        <f t="shared" si="0"/>
        <v>1.1529548338089068E-2</v>
      </c>
      <c r="D63" s="33">
        <f>SUM('[15]G VICTORIA'!$U$174)</f>
        <v>0</v>
      </c>
      <c r="E63" s="58">
        <f t="shared" si="9"/>
        <v>0</v>
      </c>
      <c r="F63" s="33">
        <f t="shared" si="10"/>
        <v>757344991</v>
      </c>
      <c r="G63" s="58">
        <f t="shared" si="11"/>
        <v>98.578229341844249</v>
      </c>
      <c r="H63" s="33">
        <f>SUM('[15]G VICTORIA'!$R$174)</f>
        <v>757344991</v>
      </c>
      <c r="I63" s="34">
        <f t="shared" si="12"/>
        <v>98.578229341844249</v>
      </c>
      <c r="J63" s="33"/>
      <c r="K63" s="58">
        <f t="shared" si="1"/>
        <v>0</v>
      </c>
      <c r="L63" s="33"/>
      <c r="M63" s="58">
        <f t="shared" si="23"/>
        <v>0</v>
      </c>
      <c r="N63" s="33">
        <f t="shared" si="24"/>
        <v>0</v>
      </c>
      <c r="O63" s="58">
        <f t="shared" si="25"/>
        <v>0</v>
      </c>
      <c r="P63" s="33"/>
      <c r="Q63" s="34">
        <f t="shared" si="15"/>
        <v>0</v>
      </c>
      <c r="R63" s="33">
        <f>SUM('[15]G VICTORIA'!$O$197)</f>
        <v>0</v>
      </c>
      <c r="S63" s="58">
        <f t="shared" si="3"/>
        <v>0</v>
      </c>
      <c r="T63" s="33">
        <f>SUM('[15]G VICTORIA'!$U$197)</f>
        <v>0</v>
      </c>
      <c r="U63" s="58">
        <f t="shared" si="26"/>
        <v>0</v>
      </c>
      <c r="V63" s="33">
        <f t="shared" si="27"/>
        <v>0</v>
      </c>
      <c r="W63" s="58">
        <f t="shared" si="28"/>
        <v>0</v>
      </c>
      <c r="X63" s="33">
        <f>SUM('[15]G VICTORIA'!$R$197)</f>
        <v>0</v>
      </c>
      <c r="Y63" s="34">
        <f t="shared" si="18"/>
        <v>0</v>
      </c>
      <c r="Z63" s="33">
        <f>SUM('[15]G VICTORIA'!$M$172)</f>
        <v>0</v>
      </c>
      <c r="AA63" s="62">
        <f t="shared" ref="AA63:AA84" si="43">SUM(B63+J63+R63)</f>
        <v>768268000</v>
      </c>
      <c r="AB63" s="63">
        <f t="shared" si="35"/>
        <v>6.7888379780921661E-3</v>
      </c>
      <c r="AC63" s="8">
        <f t="shared" ref="AC63:AC84" si="44">SUM(D63+L63+T63)</f>
        <v>0</v>
      </c>
      <c r="AD63" s="63">
        <f t="shared" ref="AD63:AD84" si="45">IF(OR(AC63=0,AA63=0),0,AC63/AA63)*100</f>
        <v>0</v>
      </c>
      <c r="AE63" s="8">
        <f t="shared" ref="AE63:AE84" si="46">SUM(F63+N63+V63)</f>
        <v>757344991</v>
      </c>
      <c r="AF63" s="63">
        <f t="shared" ref="AF63:AF84" si="47">IF(OR(AE63=0,AA63=0),0,AE63/AA63)*100</f>
        <v>98.578229341844249</v>
      </c>
      <c r="AG63" s="8">
        <f t="shared" ref="AG63:AG84" si="48">SUM(AC63+AE63)</f>
        <v>757344991</v>
      </c>
      <c r="AH63" s="9">
        <f t="shared" ref="AH63:AH84" si="49">IF(OR(AG63=0,AA63=0),0,AG63/AA63)*100</f>
        <v>98.578229341844249</v>
      </c>
    </row>
    <row r="64" spans="1:35" x14ac:dyDescent="0.2">
      <c r="A64" s="81" t="s">
        <v>79</v>
      </c>
      <c r="B64" s="33">
        <f>SUM('[15]G TUNAL'!$O$174)</f>
        <v>254517830</v>
      </c>
      <c r="C64" s="58">
        <f t="shared" si="0"/>
        <v>3.8195989210673045E-3</v>
      </c>
      <c r="D64" s="33">
        <f>SUM('[15]G TUNAL'!$U$174)</f>
        <v>50963614</v>
      </c>
      <c r="E64" s="63">
        <f t="shared" si="9"/>
        <v>20.023592846127912</v>
      </c>
      <c r="F64" s="8">
        <f t="shared" si="10"/>
        <v>203554216</v>
      </c>
      <c r="G64" s="63">
        <f t="shared" si="11"/>
        <v>79.976407153872088</v>
      </c>
      <c r="H64" s="33">
        <f>SUM('[15]G TUNAL'!$R$174)</f>
        <v>254517830</v>
      </c>
      <c r="I64" s="9">
        <f t="shared" si="12"/>
        <v>100</v>
      </c>
      <c r="J64" s="33"/>
      <c r="K64" s="58">
        <f t="shared" si="1"/>
        <v>0</v>
      </c>
      <c r="L64" s="33"/>
      <c r="M64" s="63">
        <f t="shared" si="23"/>
        <v>0</v>
      </c>
      <c r="N64" s="8">
        <f t="shared" si="24"/>
        <v>0</v>
      </c>
      <c r="O64" s="63">
        <f t="shared" si="25"/>
        <v>0</v>
      </c>
      <c r="P64" s="33"/>
      <c r="Q64" s="9">
        <f t="shared" si="15"/>
        <v>0</v>
      </c>
      <c r="R64" s="33">
        <f>SUM('[15]G TUNAL'!$O$197)</f>
        <v>0</v>
      </c>
      <c r="S64" s="58">
        <f t="shared" si="3"/>
        <v>0</v>
      </c>
      <c r="T64" s="33">
        <f>SUM('[15]G TUNAL'!$U$197)</f>
        <v>0</v>
      </c>
      <c r="U64" s="63">
        <f t="shared" si="26"/>
        <v>0</v>
      </c>
      <c r="V64" s="8">
        <f t="shared" si="27"/>
        <v>0</v>
      </c>
      <c r="W64" s="63">
        <f t="shared" si="28"/>
        <v>0</v>
      </c>
      <c r="X64" s="33">
        <f>SUM('[15]G TUNAL'!$R$197)</f>
        <v>0</v>
      </c>
      <c r="Y64" s="9">
        <f t="shared" si="18"/>
        <v>0</v>
      </c>
      <c r="Z64" s="33">
        <f>SUM('[15]G TUNAL'!$M$172)</f>
        <v>0</v>
      </c>
      <c r="AA64" s="62">
        <f t="shared" si="43"/>
        <v>254517830</v>
      </c>
      <c r="AB64" s="63">
        <f t="shared" si="35"/>
        <v>2.2490593261799341E-3</v>
      </c>
      <c r="AC64" s="8">
        <f t="shared" si="44"/>
        <v>50963614</v>
      </c>
      <c r="AD64" s="63">
        <f t="shared" si="45"/>
        <v>20.023592846127912</v>
      </c>
      <c r="AE64" s="8">
        <f t="shared" si="46"/>
        <v>203554216</v>
      </c>
      <c r="AF64" s="63">
        <f t="shared" si="47"/>
        <v>79.976407153872088</v>
      </c>
      <c r="AG64" s="8">
        <f t="shared" si="48"/>
        <v>254517830</v>
      </c>
      <c r="AH64" s="9">
        <f t="shared" si="49"/>
        <v>100</v>
      </c>
    </row>
    <row r="65" spans="1:34" x14ac:dyDescent="0.2">
      <c r="A65" s="81" t="s">
        <v>80</v>
      </c>
      <c r="B65" s="33">
        <f>SUM('[15]G SIMON BOLIVAR'!$O$174)</f>
        <v>7902735562</v>
      </c>
      <c r="C65" s="58">
        <f t="shared" si="0"/>
        <v>0.11859790029679028</v>
      </c>
      <c r="D65" s="33">
        <f>SUM('[15]G SIMON BOLIVAR'!$U$174)</f>
        <v>266324069</v>
      </c>
      <c r="E65" s="63">
        <f t="shared" si="9"/>
        <v>3.3700237963245163</v>
      </c>
      <c r="F65" s="8">
        <f t="shared" si="10"/>
        <v>4576156663</v>
      </c>
      <c r="G65" s="63">
        <f t="shared" si="11"/>
        <v>57.905982391771694</v>
      </c>
      <c r="H65" s="33">
        <f>SUM('[15]G SIMON BOLIVAR'!$R$174)</f>
        <v>4842480732</v>
      </c>
      <c r="I65" s="9">
        <f t="shared" si="12"/>
        <v>61.276006188096211</v>
      </c>
      <c r="J65" s="33"/>
      <c r="K65" s="58">
        <f t="shared" si="1"/>
        <v>0</v>
      </c>
      <c r="L65" s="33"/>
      <c r="M65" s="63">
        <f t="shared" si="23"/>
        <v>0</v>
      </c>
      <c r="N65" s="8">
        <f t="shared" si="24"/>
        <v>0</v>
      </c>
      <c r="O65" s="63">
        <f t="shared" si="25"/>
        <v>0</v>
      </c>
      <c r="P65" s="33"/>
      <c r="Q65" s="9">
        <f t="shared" si="15"/>
        <v>0</v>
      </c>
      <c r="R65" s="33">
        <f>SUM('[15]G SIMON BOLIVAR'!$O$197)</f>
        <v>0</v>
      </c>
      <c r="S65" s="58">
        <f t="shared" si="3"/>
        <v>0</v>
      </c>
      <c r="T65" s="33">
        <f>SUM('[15]G SIMON BOLIVAR'!$U$197)</f>
        <v>0</v>
      </c>
      <c r="U65" s="63">
        <f t="shared" si="26"/>
        <v>0</v>
      </c>
      <c r="V65" s="8">
        <f t="shared" si="27"/>
        <v>0</v>
      </c>
      <c r="W65" s="63">
        <f t="shared" si="28"/>
        <v>0</v>
      </c>
      <c r="X65" s="33">
        <f>SUM('[15]G SIMON BOLIVAR'!$R$197)</f>
        <v>0</v>
      </c>
      <c r="Y65" s="9">
        <f t="shared" si="18"/>
        <v>0</v>
      </c>
      <c r="Z65" s="33">
        <f>SUM('[15]G SIMON BOLIVAR'!$M$172)</f>
        <v>0</v>
      </c>
      <c r="AA65" s="62">
        <f t="shared" si="43"/>
        <v>7902735562</v>
      </c>
      <c r="AB65" s="63">
        <f t="shared" si="35"/>
        <v>6.9832911580496829E-2</v>
      </c>
      <c r="AC65" s="8">
        <f t="shared" si="44"/>
        <v>266324069</v>
      </c>
      <c r="AD65" s="63">
        <f t="shared" si="45"/>
        <v>3.3700237963245163</v>
      </c>
      <c r="AE65" s="8">
        <f t="shared" si="46"/>
        <v>4576156663</v>
      </c>
      <c r="AF65" s="63">
        <f t="shared" si="47"/>
        <v>57.905982391771694</v>
      </c>
      <c r="AG65" s="8">
        <f t="shared" si="48"/>
        <v>4842480732</v>
      </c>
      <c r="AH65" s="9">
        <f t="shared" si="49"/>
        <v>61.276006188096211</v>
      </c>
    </row>
    <row r="66" spans="1:34" x14ac:dyDescent="0.2">
      <c r="A66" s="81" t="s">
        <v>81</v>
      </c>
      <c r="B66" s="33">
        <f>SUM('[15]G KENNEDY'!$O$174)</f>
        <v>2355606863</v>
      </c>
      <c r="C66" s="58">
        <f t="shared" si="0"/>
        <v>3.5351053528837405E-2</v>
      </c>
      <c r="D66" s="33">
        <f>SUM('[15]G KENNEDY'!$U$174)</f>
        <v>1047646895</v>
      </c>
      <c r="E66" s="63">
        <f t="shared" si="9"/>
        <v>44.474607009157793</v>
      </c>
      <c r="F66" s="8">
        <f t="shared" si="10"/>
        <v>1290509034</v>
      </c>
      <c r="G66" s="63">
        <f t="shared" si="11"/>
        <v>54.784567589366887</v>
      </c>
      <c r="H66" s="33">
        <f>SUM('[15]G KENNEDY'!$R$174)</f>
        <v>2338155929</v>
      </c>
      <c r="I66" s="9">
        <f t="shared" si="12"/>
        <v>99.25917459852468</v>
      </c>
      <c r="J66" s="33"/>
      <c r="K66" s="58">
        <f t="shared" si="1"/>
        <v>0</v>
      </c>
      <c r="L66" s="33"/>
      <c r="M66" s="63">
        <f t="shared" si="23"/>
        <v>0</v>
      </c>
      <c r="N66" s="8">
        <f t="shared" si="24"/>
        <v>0</v>
      </c>
      <c r="O66" s="63">
        <f t="shared" si="25"/>
        <v>0</v>
      </c>
      <c r="P66" s="33"/>
      <c r="Q66" s="9">
        <f t="shared" si="15"/>
        <v>0</v>
      </c>
      <c r="R66" s="33">
        <f>SUM('[15]G KENNEDY'!$O$197)</f>
        <v>0</v>
      </c>
      <c r="S66" s="58">
        <f t="shared" si="3"/>
        <v>0</v>
      </c>
      <c r="T66" s="33">
        <f>SUM('[15]G KENNEDY'!$U$197)</f>
        <v>0</v>
      </c>
      <c r="U66" s="63">
        <f t="shared" si="26"/>
        <v>0</v>
      </c>
      <c r="V66" s="8">
        <f t="shared" si="27"/>
        <v>0</v>
      </c>
      <c r="W66" s="63">
        <f t="shared" si="28"/>
        <v>0</v>
      </c>
      <c r="X66" s="33">
        <f>SUM('[15]G KENNEDY'!$R$197)</f>
        <v>0</v>
      </c>
      <c r="Y66" s="9">
        <f t="shared" si="18"/>
        <v>0</v>
      </c>
      <c r="Z66" s="33">
        <f>SUM('[15]G KENNEDY'!$M$172)</f>
        <v>0</v>
      </c>
      <c r="AA66" s="62">
        <f t="shared" si="43"/>
        <v>2355606863</v>
      </c>
      <c r="AB66" s="63">
        <f t="shared" si="35"/>
        <v>2.0815435932498749E-2</v>
      </c>
      <c r="AC66" s="8">
        <f t="shared" si="44"/>
        <v>1047646895</v>
      </c>
      <c r="AD66" s="63">
        <f t="shared" si="45"/>
        <v>44.474607009157793</v>
      </c>
      <c r="AE66" s="8">
        <f t="shared" si="46"/>
        <v>1290509034</v>
      </c>
      <c r="AF66" s="63">
        <f t="shared" si="47"/>
        <v>54.784567589366887</v>
      </c>
      <c r="AG66" s="8">
        <f t="shared" si="48"/>
        <v>2338155929</v>
      </c>
      <c r="AH66" s="9">
        <f t="shared" si="49"/>
        <v>99.25917459852468</v>
      </c>
    </row>
    <row r="67" spans="1:34" x14ac:dyDescent="0.2">
      <c r="A67" s="81" t="s">
        <v>82</v>
      </c>
      <c r="B67" s="33">
        <f>SUM('[15]G SANTA CLARA'!$O$174)</f>
        <v>682941877</v>
      </c>
      <c r="C67" s="58">
        <f t="shared" si="0"/>
        <v>1.024904249946214E-2</v>
      </c>
      <c r="D67" s="33">
        <f>SUM('[15]G SANTA CLARA'!$U$174)</f>
        <v>0</v>
      </c>
      <c r="E67" s="63">
        <f t="shared" si="9"/>
        <v>0</v>
      </c>
      <c r="F67" s="8">
        <f t="shared" si="10"/>
        <v>0</v>
      </c>
      <c r="G67" s="63">
        <f t="shared" si="11"/>
        <v>0</v>
      </c>
      <c r="H67" s="33">
        <f>SUM('[15]G SANTA CLARA'!$R$174)</f>
        <v>0</v>
      </c>
      <c r="I67" s="9">
        <f t="shared" si="12"/>
        <v>0</v>
      </c>
      <c r="J67" s="33"/>
      <c r="K67" s="58">
        <f t="shared" si="1"/>
        <v>0</v>
      </c>
      <c r="L67" s="33"/>
      <c r="M67" s="63">
        <f t="shared" si="23"/>
        <v>0</v>
      </c>
      <c r="N67" s="8">
        <f t="shared" si="24"/>
        <v>0</v>
      </c>
      <c r="O67" s="63">
        <f t="shared" si="25"/>
        <v>0</v>
      </c>
      <c r="P67" s="33"/>
      <c r="Q67" s="9">
        <f t="shared" si="15"/>
        <v>0</v>
      </c>
      <c r="R67" s="33">
        <f>SUM('[15]G SANTA CLARA'!$O$197)</f>
        <v>0</v>
      </c>
      <c r="S67" s="58">
        <f t="shared" si="3"/>
        <v>0</v>
      </c>
      <c r="T67" s="33">
        <f>SUM('[15]G SANTA CLARA'!$U$197)</f>
        <v>0</v>
      </c>
      <c r="U67" s="63">
        <f t="shared" si="26"/>
        <v>0</v>
      </c>
      <c r="V67" s="8">
        <f t="shared" si="27"/>
        <v>0</v>
      </c>
      <c r="W67" s="63">
        <f t="shared" si="28"/>
        <v>0</v>
      </c>
      <c r="X67" s="33">
        <f>SUM('[15]G SANTA CLARA'!$R$197)</f>
        <v>0</v>
      </c>
      <c r="Y67" s="9">
        <f t="shared" si="18"/>
        <v>0</v>
      </c>
      <c r="Z67" s="33">
        <f>SUM('[15]G SANTA CLARA'!$M$172)</f>
        <v>0</v>
      </c>
      <c r="AA67" s="62">
        <f t="shared" si="43"/>
        <v>682941877</v>
      </c>
      <c r="AB67" s="63">
        <f t="shared" si="35"/>
        <v>6.0348494944565548E-3</v>
      </c>
      <c r="AC67" s="8">
        <f t="shared" si="44"/>
        <v>0</v>
      </c>
      <c r="AD67" s="63">
        <f t="shared" si="45"/>
        <v>0</v>
      </c>
      <c r="AE67" s="8">
        <f t="shared" si="46"/>
        <v>0</v>
      </c>
      <c r="AF67" s="63">
        <f t="shared" si="47"/>
        <v>0</v>
      </c>
      <c r="AG67" s="8">
        <f t="shared" si="48"/>
        <v>0</v>
      </c>
      <c r="AH67" s="9">
        <f t="shared" si="49"/>
        <v>0</v>
      </c>
    </row>
    <row r="68" spans="1:34" x14ac:dyDescent="0.2">
      <c r="A68" s="81" t="s">
        <v>83</v>
      </c>
      <c r="B68" s="33">
        <f>SUM('[15]G BOSA'!$O$174)</f>
        <v>18349043916</v>
      </c>
      <c r="C68" s="58">
        <f t="shared" si="0"/>
        <v>0.27536769563126556</v>
      </c>
      <c r="D68" s="33">
        <f>SUM('[15]G BOSA'!$U$174)</f>
        <v>47036100</v>
      </c>
      <c r="E68" s="63">
        <f t="shared" si="9"/>
        <v>0.25634087648013892</v>
      </c>
      <c r="F68" s="8">
        <f t="shared" si="10"/>
        <v>1000138440</v>
      </c>
      <c r="G68" s="63">
        <f t="shared" si="11"/>
        <v>5.4506297144337816</v>
      </c>
      <c r="H68" s="33">
        <f>SUM('[15]G BOSA'!$R$174)</f>
        <v>1047174540</v>
      </c>
      <c r="I68" s="9">
        <f t="shared" si="12"/>
        <v>5.7069705909139206</v>
      </c>
      <c r="J68" s="33"/>
      <c r="K68" s="58">
        <f t="shared" si="1"/>
        <v>0</v>
      </c>
      <c r="L68" s="33"/>
      <c r="M68" s="63">
        <f t="shared" si="23"/>
        <v>0</v>
      </c>
      <c r="N68" s="8">
        <f t="shared" si="24"/>
        <v>0</v>
      </c>
      <c r="O68" s="63">
        <f t="shared" si="25"/>
        <v>0</v>
      </c>
      <c r="P68" s="33"/>
      <c r="Q68" s="9">
        <f t="shared" si="15"/>
        <v>0</v>
      </c>
      <c r="R68" s="33">
        <f>SUM('[15]G BOSA'!$O$197)</f>
        <v>0</v>
      </c>
      <c r="S68" s="58">
        <f t="shared" si="3"/>
        <v>0</v>
      </c>
      <c r="T68" s="33">
        <f>SUM('[15]G BOSA'!$U$197)</f>
        <v>0</v>
      </c>
      <c r="U68" s="63">
        <f t="shared" si="26"/>
        <v>0</v>
      </c>
      <c r="V68" s="8">
        <f t="shared" si="27"/>
        <v>0</v>
      </c>
      <c r="W68" s="63">
        <f t="shared" si="28"/>
        <v>0</v>
      </c>
      <c r="X68" s="33">
        <f>SUM('[15]G BOSA'!$R$197)</f>
        <v>0</v>
      </c>
      <c r="Y68" s="9">
        <f t="shared" si="18"/>
        <v>0</v>
      </c>
      <c r="Z68" s="33">
        <f>SUM('[15]G BOSA'!$M$172)</f>
        <v>17530362626</v>
      </c>
      <c r="AA68" s="62">
        <f t="shared" si="43"/>
        <v>18349043916</v>
      </c>
      <c r="AB68" s="63">
        <f t="shared" si="35"/>
        <v>0.16214222927236563</v>
      </c>
      <c r="AC68" s="8">
        <f t="shared" si="44"/>
        <v>47036100</v>
      </c>
      <c r="AD68" s="63">
        <f t="shared" si="45"/>
        <v>0.25634087648013892</v>
      </c>
      <c r="AE68" s="8">
        <f t="shared" si="46"/>
        <v>1000138440</v>
      </c>
      <c r="AF68" s="63">
        <f t="shared" si="47"/>
        <v>5.4506297144337816</v>
      </c>
      <c r="AG68" s="8">
        <f t="shared" si="48"/>
        <v>1047174540</v>
      </c>
      <c r="AH68" s="9">
        <f t="shared" si="49"/>
        <v>5.7069705909139206</v>
      </c>
    </row>
    <row r="69" spans="1:34" x14ac:dyDescent="0.2">
      <c r="A69" s="81" t="s">
        <v>84</v>
      </c>
      <c r="B69" s="33">
        <f>SUM('[15]G ENGATIVA'!$O$174)</f>
        <v>1246919148</v>
      </c>
      <c r="C69" s="58">
        <f t="shared" si="0"/>
        <v>1.8712759857959508E-2</v>
      </c>
      <c r="D69" s="33">
        <f>SUM('[15]G ENGATIVA'!$U$174)</f>
        <v>1018114593</v>
      </c>
      <c r="E69" s="63">
        <f t="shared" si="9"/>
        <v>81.650409702426032</v>
      </c>
      <c r="F69" s="8">
        <f t="shared" si="10"/>
        <v>28544796</v>
      </c>
      <c r="G69" s="63">
        <f t="shared" si="11"/>
        <v>2.2892258929365643</v>
      </c>
      <c r="H69" s="33">
        <f>SUM('[15]G ENGATIVA'!$R$174)</f>
        <v>1046659389</v>
      </c>
      <c r="I69" s="9">
        <f t="shared" si="12"/>
        <v>83.939635595362589</v>
      </c>
      <c r="J69" s="33"/>
      <c r="K69" s="58">
        <f t="shared" ref="K69:K84" si="50">IF(OR(J69=0,J$85=0),0,J69/J$86)*100</f>
        <v>0</v>
      </c>
      <c r="L69" s="33"/>
      <c r="M69" s="63">
        <f t="shared" si="23"/>
        <v>0</v>
      </c>
      <c r="N69" s="8">
        <f t="shared" si="24"/>
        <v>0</v>
      </c>
      <c r="O69" s="63">
        <f t="shared" si="25"/>
        <v>0</v>
      </c>
      <c r="P69" s="33"/>
      <c r="Q69" s="9">
        <f t="shared" si="15"/>
        <v>0</v>
      </c>
      <c r="R69" s="33">
        <f>SUM('[15]G ENGATIVA'!$O$197)</f>
        <v>0</v>
      </c>
      <c r="S69" s="58">
        <f t="shared" ref="S69:S84" si="51">IF(OR(R69=0,R$85=0),0,R69/R$86)*100</f>
        <v>0</v>
      </c>
      <c r="T69" s="33">
        <f>SUM('[15]G ENGATIVA'!$U$197)</f>
        <v>0</v>
      </c>
      <c r="U69" s="63">
        <f t="shared" si="26"/>
        <v>0</v>
      </c>
      <c r="V69" s="8">
        <f t="shared" si="27"/>
        <v>0</v>
      </c>
      <c r="W69" s="63">
        <f t="shared" si="28"/>
        <v>0</v>
      </c>
      <c r="X69" s="33">
        <f>SUM('[15]G ENGATIVA'!$R$197)</f>
        <v>0</v>
      </c>
      <c r="Y69" s="9">
        <f t="shared" si="18"/>
        <v>0</v>
      </c>
      <c r="Z69" s="33">
        <f>SUM('[15]G ENGATIVA'!$M$172)</f>
        <v>0</v>
      </c>
      <c r="AA69" s="62">
        <f t="shared" si="43"/>
        <v>1246919148</v>
      </c>
      <c r="AB69" s="63">
        <f t="shared" si="35"/>
        <v>1.1018462395352568E-2</v>
      </c>
      <c r="AC69" s="8">
        <f t="shared" si="44"/>
        <v>1018114593</v>
      </c>
      <c r="AD69" s="63">
        <f t="shared" si="45"/>
        <v>81.650409702426032</v>
      </c>
      <c r="AE69" s="8">
        <f t="shared" si="46"/>
        <v>28544796</v>
      </c>
      <c r="AF69" s="63">
        <f t="shared" si="47"/>
        <v>2.2892258929365643</v>
      </c>
      <c r="AG69" s="8">
        <f t="shared" si="48"/>
        <v>1046659389</v>
      </c>
      <c r="AH69" s="9">
        <f t="shared" si="49"/>
        <v>83.939635595362589</v>
      </c>
    </row>
    <row r="70" spans="1:34" x14ac:dyDescent="0.2">
      <c r="A70" s="81" t="s">
        <v>85</v>
      </c>
      <c r="B70" s="33">
        <f>SUM('[15]G FONTIBON'!$O$174)</f>
        <v>638042535</v>
      </c>
      <c r="C70" s="58">
        <f t="shared" ref="C70:C84" si="52">IF(OR(B70=0,B$85=0),0,B70/B$86)*100</f>
        <v>9.5752292807189492E-3</v>
      </c>
      <c r="D70" s="33">
        <f>SUM('[15]G FONTIBON'!$U$174)</f>
        <v>461894676</v>
      </c>
      <c r="E70" s="63">
        <f t="shared" si="9"/>
        <v>72.392458286499661</v>
      </c>
      <c r="F70" s="8">
        <f t="shared" si="10"/>
        <v>161177542</v>
      </c>
      <c r="G70" s="63">
        <f t="shared" si="11"/>
        <v>25.261253467999587</v>
      </c>
      <c r="H70" s="33">
        <f>SUM('[15]G FONTIBON'!$R$174)</f>
        <v>623072218</v>
      </c>
      <c r="I70" s="9">
        <f t="shared" ref="I70:I86" si="53">IF(OR(H70=0,B70=0),0,H70/B70)*100</f>
        <v>97.653711754499255</v>
      </c>
      <c r="J70" s="33"/>
      <c r="K70" s="58">
        <f t="shared" si="50"/>
        <v>0</v>
      </c>
      <c r="L70" s="33"/>
      <c r="M70" s="63">
        <f t="shared" si="23"/>
        <v>0</v>
      </c>
      <c r="N70" s="8">
        <f t="shared" si="24"/>
        <v>0</v>
      </c>
      <c r="O70" s="63">
        <f t="shared" si="25"/>
        <v>0</v>
      </c>
      <c r="P70" s="33"/>
      <c r="Q70" s="9">
        <f t="shared" ref="Q70:Q86" si="54">IF(OR(P70=0,J70=0),0,P70/J70)*100</f>
        <v>0</v>
      </c>
      <c r="R70" s="33">
        <f>SUM('[15]G FONTIBON'!$O$197)</f>
        <v>0</v>
      </c>
      <c r="S70" s="58">
        <f t="shared" si="51"/>
        <v>0</v>
      </c>
      <c r="T70" s="33">
        <f>SUM('[15]G FONTIBON'!$U$197)</f>
        <v>0</v>
      </c>
      <c r="U70" s="63">
        <f t="shared" si="26"/>
        <v>0</v>
      </c>
      <c r="V70" s="8">
        <f t="shared" si="27"/>
        <v>0</v>
      </c>
      <c r="W70" s="63">
        <f t="shared" si="28"/>
        <v>0</v>
      </c>
      <c r="X70" s="33">
        <f>SUM('[15]G FONTIBON'!$R$197)</f>
        <v>0</v>
      </c>
      <c r="Y70" s="9">
        <f t="shared" ref="Y70:Y86" si="55">IF(OR(X70=0,R70=0),0,X70/R70)*100</f>
        <v>0</v>
      </c>
      <c r="Z70" s="33">
        <f>SUM('[15]G FONTIBON'!$M$172)</f>
        <v>0</v>
      </c>
      <c r="AA70" s="62">
        <f t="shared" si="43"/>
        <v>638042535</v>
      </c>
      <c r="AB70" s="63">
        <f t="shared" si="35"/>
        <v>5.6380942499833393E-3</v>
      </c>
      <c r="AC70" s="8">
        <f t="shared" si="44"/>
        <v>461894676</v>
      </c>
      <c r="AD70" s="63">
        <f t="shared" si="45"/>
        <v>72.392458286499661</v>
      </c>
      <c r="AE70" s="8">
        <f t="shared" si="46"/>
        <v>161177542</v>
      </c>
      <c r="AF70" s="63">
        <f t="shared" si="47"/>
        <v>25.261253467999587</v>
      </c>
      <c r="AG70" s="8">
        <f t="shared" si="48"/>
        <v>623072218</v>
      </c>
      <c r="AH70" s="9">
        <f t="shared" si="49"/>
        <v>97.653711754499255</v>
      </c>
    </row>
    <row r="71" spans="1:34" x14ac:dyDescent="0.2">
      <c r="A71" s="81" t="s">
        <v>86</v>
      </c>
      <c r="B71" s="33">
        <f>SUM('[15]G MEISSEN'!$O$174)</f>
        <v>1733536053</v>
      </c>
      <c r="C71" s="58">
        <f t="shared" si="52"/>
        <v>2.6015515053189293E-2</v>
      </c>
      <c r="D71" s="33">
        <f>SUM('[15]G MEISSEN'!$U$174)</f>
        <v>249999720</v>
      </c>
      <c r="E71" s="63">
        <f t="shared" si="9"/>
        <v>14.421374136831986</v>
      </c>
      <c r="F71" s="8">
        <f t="shared" si="10"/>
        <v>1350369880</v>
      </c>
      <c r="G71" s="63">
        <f t="shared" si="11"/>
        <v>77.89684429482125</v>
      </c>
      <c r="H71" s="33">
        <f>SUM('[15]G MEISSEN'!$R$174)</f>
        <v>1600369600</v>
      </c>
      <c r="I71" s="9">
        <f t="shared" si="53"/>
        <v>92.318218431653236</v>
      </c>
      <c r="J71" s="33"/>
      <c r="K71" s="58">
        <f t="shared" si="50"/>
        <v>0</v>
      </c>
      <c r="L71" s="33"/>
      <c r="M71" s="63">
        <f t="shared" si="23"/>
        <v>0</v>
      </c>
      <c r="N71" s="8">
        <f t="shared" si="24"/>
        <v>0</v>
      </c>
      <c r="O71" s="63">
        <f t="shared" si="25"/>
        <v>0</v>
      </c>
      <c r="P71" s="33"/>
      <c r="Q71" s="9">
        <f t="shared" si="54"/>
        <v>0</v>
      </c>
      <c r="R71" s="33">
        <f>SUM('[15]G MEISSEN'!$O$197)</f>
        <v>0</v>
      </c>
      <c r="S71" s="58">
        <f t="shared" si="51"/>
        <v>0</v>
      </c>
      <c r="T71" s="33">
        <f>SUM('[15]G MEISSEN'!$U$197)</f>
        <v>0</v>
      </c>
      <c r="U71" s="63">
        <f t="shared" si="26"/>
        <v>0</v>
      </c>
      <c r="V71" s="8">
        <f t="shared" si="27"/>
        <v>0</v>
      </c>
      <c r="W71" s="63">
        <f t="shared" si="28"/>
        <v>0</v>
      </c>
      <c r="X71" s="33">
        <f>SUM('[15]G MEISSEN'!$R$197)</f>
        <v>0</v>
      </c>
      <c r="Y71" s="9">
        <f t="shared" si="55"/>
        <v>0</v>
      </c>
      <c r="Z71" s="33">
        <f>SUM('[15]G MEISSEN'!$M$172)</f>
        <v>0</v>
      </c>
      <c r="AA71" s="62">
        <f t="shared" si="43"/>
        <v>1733536053</v>
      </c>
      <c r="AB71" s="63">
        <f t="shared" si="35"/>
        <v>1.5318476616230786E-2</v>
      </c>
      <c r="AC71" s="8">
        <f t="shared" si="44"/>
        <v>249999720</v>
      </c>
      <c r="AD71" s="63">
        <f t="shared" si="45"/>
        <v>14.421374136831986</v>
      </c>
      <c r="AE71" s="8">
        <f t="shared" si="46"/>
        <v>1350369880</v>
      </c>
      <c r="AF71" s="63">
        <f t="shared" si="47"/>
        <v>77.89684429482125</v>
      </c>
      <c r="AG71" s="8">
        <f t="shared" si="48"/>
        <v>1600369600</v>
      </c>
      <c r="AH71" s="9">
        <f t="shared" si="49"/>
        <v>92.318218431653236</v>
      </c>
    </row>
    <row r="72" spans="1:34" x14ac:dyDescent="0.2">
      <c r="A72" s="81" t="s">
        <v>87</v>
      </c>
      <c r="B72" s="33">
        <f>SUM('[15]G TUNJUELITO'!$O$174)</f>
        <v>674538293</v>
      </c>
      <c r="C72" s="58">
        <f t="shared" si="52"/>
        <v>1.0122928268567201E-2</v>
      </c>
      <c r="D72" s="33">
        <f>SUM('[15]G TUNJUELITO'!$U$174)</f>
        <v>275909632</v>
      </c>
      <c r="E72" s="63">
        <f t="shared" ref="E72:E84" si="56">IF(OR(D72=0,B72=0),0,D72/B72)*100</f>
        <v>40.903479441159021</v>
      </c>
      <c r="F72" s="8">
        <f t="shared" ref="F72:F84" si="57">SUM(H72-D72)</f>
        <v>390385449</v>
      </c>
      <c r="G72" s="63">
        <f t="shared" ref="G72:G84" si="58">IF(OR(F72=0,B72=0),0,F72/B72)*100</f>
        <v>57.874468069672659</v>
      </c>
      <c r="H72" s="33">
        <f>SUM('[15]G TUNJUELITO'!$R$174)</f>
        <v>666295081</v>
      </c>
      <c r="I72" s="9">
        <f t="shared" si="53"/>
        <v>98.77794751083168</v>
      </c>
      <c r="J72" s="33"/>
      <c r="K72" s="58">
        <f t="shared" si="50"/>
        <v>0</v>
      </c>
      <c r="L72" s="33"/>
      <c r="M72" s="63">
        <f t="shared" si="23"/>
        <v>0</v>
      </c>
      <c r="N72" s="8">
        <f t="shared" si="24"/>
        <v>0</v>
      </c>
      <c r="O72" s="63">
        <f t="shared" si="25"/>
        <v>0</v>
      </c>
      <c r="P72" s="33"/>
      <c r="Q72" s="9">
        <f t="shared" si="54"/>
        <v>0</v>
      </c>
      <c r="R72" s="33">
        <f>SUM('[15]G TUNJUELITO'!$O$197)</f>
        <v>540000000</v>
      </c>
      <c r="S72" s="58">
        <f t="shared" si="51"/>
        <v>7.1323843023760103E-2</v>
      </c>
      <c r="T72" s="33">
        <f>SUM('[15]G TUNJUELITO'!$U$197)</f>
        <v>20720220</v>
      </c>
      <c r="U72" s="63">
        <f t="shared" si="26"/>
        <v>3.8370777777777776</v>
      </c>
      <c r="V72" s="8">
        <f t="shared" si="27"/>
        <v>43724538</v>
      </c>
      <c r="W72" s="63">
        <f t="shared" si="28"/>
        <v>8.0971366666666675</v>
      </c>
      <c r="X72" s="33">
        <f>SUM('[15]G TUNJUELITO'!$R$197)</f>
        <v>64444758</v>
      </c>
      <c r="Y72" s="9">
        <f t="shared" si="55"/>
        <v>11.934214444444445</v>
      </c>
      <c r="Z72" s="33">
        <f>SUM('[15]G TUNJUELITO'!$M$172)</f>
        <v>0</v>
      </c>
      <c r="AA72" s="62">
        <f t="shared" si="43"/>
        <v>1214538293</v>
      </c>
      <c r="AB72" s="63">
        <f t="shared" si="35"/>
        <v>1.0732327377120524E-2</v>
      </c>
      <c r="AC72" s="8">
        <f t="shared" si="44"/>
        <v>296629852</v>
      </c>
      <c r="AD72" s="63">
        <f t="shared" si="45"/>
        <v>24.423260568203425</v>
      </c>
      <c r="AE72" s="8">
        <f t="shared" si="46"/>
        <v>434109987</v>
      </c>
      <c r="AF72" s="63">
        <f t="shared" si="47"/>
        <v>35.742799506775206</v>
      </c>
      <c r="AG72" s="8">
        <f t="shared" si="48"/>
        <v>730739839</v>
      </c>
      <c r="AH72" s="9">
        <f t="shared" si="49"/>
        <v>60.166060074978631</v>
      </c>
    </row>
    <row r="73" spans="1:34" x14ac:dyDescent="0.2">
      <c r="A73" s="81" t="s">
        <v>88</v>
      </c>
      <c r="B73" s="33">
        <f>SUM('[15]G CENTRO ORIENTE'!$O$174)</f>
        <v>3357209</v>
      </c>
      <c r="C73" s="58">
        <f t="shared" si="52"/>
        <v>5.03822929584047E-5</v>
      </c>
      <c r="D73" s="33">
        <f>SUM('[15]G CENTRO ORIENTE'!$U$174)</f>
        <v>0</v>
      </c>
      <c r="E73" s="63">
        <f t="shared" si="56"/>
        <v>0</v>
      </c>
      <c r="F73" s="8">
        <f t="shared" si="57"/>
        <v>0</v>
      </c>
      <c r="G73" s="63">
        <f t="shared" si="58"/>
        <v>0</v>
      </c>
      <c r="H73" s="33">
        <f>SUM('[15]G CENTRO ORIENTE'!$R$174)</f>
        <v>0</v>
      </c>
      <c r="I73" s="9">
        <f t="shared" si="53"/>
        <v>0</v>
      </c>
      <c r="J73" s="33"/>
      <c r="K73" s="58">
        <f t="shared" si="50"/>
        <v>0</v>
      </c>
      <c r="L73" s="33"/>
      <c r="M73" s="63">
        <f t="shared" si="23"/>
        <v>0</v>
      </c>
      <c r="N73" s="8">
        <f t="shared" si="24"/>
        <v>0</v>
      </c>
      <c r="O73" s="63">
        <f t="shared" si="25"/>
        <v>0</v>
      </c>
      <c r="P73" s="33"/>
      <c r="Q73" s="9">
        <f t="shared" si="54"/>
        <v>0</v>
      </c>
      <c r="R73" s="33">
        <f>SUM('[15]G CENTRO ORIENTE'!$O$197)</f>
        <v>1061655442</v>
      </c>
      <c r="S73" s="58">
        <f t="shared" si="51"/>
        <v>0.14022471498246047</v>
      </c>
      <c r="T73" s="33">
        <f>SUM('[15]G CENTRO ORIENTE'!$U$197)</f>
        <v>581194878</v>
      </c>
      <c r="U73" s="63">
        <f t="shared" si="26"/>
        <v>54.744209374099363</v>
      </c>
      <c r="V73" s="8">
        <f t="shared" si="27"/>
        <v>344961707</v>
      </c>
      <c r="W73" s="63">
        <f t="shared" si="28"/>
        <v>32.492812013485633</v>
      </c>
      <c r="X73" s="33">
        <f>SUM('[15]G CENTRO ORIENTE'!$R$197)</f>
        <v>926156585</v>
      </c>
      <c r="Y73" s="9">
        <f t="shared" si="55"/>
        <v>87.237021387584988</v>
      </c>
      <c r="Z73" s="33">
        <f>SUM('[15]G CENTRO ORIENTE'!$M$172)</f>
        <v>0</v>
      </c>
      <c r="AA73" s="62">
        <f t="shared" si="43"/>
        <v>1065012651</v>
      </c>
      <c r="AB73" s="63">
        <f t="shared" si="35"/>
        <v>9.4110366854501526E-3</v>
      </c>
      <c r="AC73" s="8">
        <f t="shared" si="44"/>
        <v>581194878</v>
      </c>
      <c r="AD73" s="63">
        <f t="shared" si="45"/>
        <v>54.571640764481401</v>
      </c>
      <c r="AE73" s="8">
        <f t="shared" si="46"/>
        <v>344961707</v>
      </c>
      <c r="AF73" s="63">
        <f t="shared" si="47"/>
        <v>32.39038584904096</v>
      </c>
      <c r="AG73" s="8">
        <f t="shared" si="48"/>
        <v>926156585</v>
      </c>
      <c r="AH73" s="9">
        <f t="shared" si="49"/>
        <v>86.962026613522355</v>
      </c>
    </row>
    <row r="74" spans="1:34" x14ac:dyDescent="0.2">
      <c r="A74" s="81" t="s">
        <v>89</v>
      </c>
      <c r="B74" s="33">
        <f>SUM('[15]G SAN BLAS'!$O$174)</f>
        <v>480000000</v>
      </c>
      <c r="C74" s="58">
        <f t="shared" si="52"/>
        <v>7.203454006001489E-3</v>
      </c>
      <c r="D74" s="33">
        <f>SUM('[15]G SAN BLAS'!$U$174)</f>
        <v>0</v>
      </c>
      <c r="E74" s="63">
        <f t="shared" si="56"/>
        <v>0</v>
      </c>
      <c r="F74" s="8">
        <f t="shared" si="57"/>
        <v>218711000</v>
      </c>
      <c r="G74" s="63">
        <f t="shared" si="58"/>
        <v>45.564791666666665</v>
      </c>
      <c r="H74" s="33">
        <f>SUM('[15]G SAN BLAS'!$R$174)</f>
        <v>218711000</v>
      </c>
      <c r="I74" s="9">
        <f t="shared" si="53"/>
        <v>45.564791666666665</v>
      </c>
      <c r="J74" s="33"/>
      <c r="K74" s="58">
        <f t="shared" si="50"/>
        <v>0</v>
      </c>
      <c r="L74" s="33"/>
      <c r="M74" s="63">
        <f t="shared" si="23"/>
        <v>0</v>
      </c>
      <c r="N74" s="8">
        <f t="shared" si="24"/>
        <v>0</v>
      </c>
      <c r="O74" s="63">
        <f t="shared" si="25"/>
        <v>0</v>
      </c>
      <c r="P74" s="33"/>
      <c r="Q74" s="9">
        <f t="shared" si="54"/>
        <v>0</v>
      </c>
      <c r="R74" s="33">
        <f>SUM('[15]G SAN BLAS'!$O$197)</f>
        <v>0</v>
      </c>
      <c r="S74" s="58">
        <f t="shared" si="51"/>
        <v>0</v>
      </c>
      <c r="T74" s="33">
        <f>SUM('[15]G SAN BLAS'!$U$197)</f>
        <v>0</v>
      </c>
      <c r="U74" s="63">
        <f t="shared" si="26"/>
        <v>0</v>
      </c>
      <c r="V74" s="8">
        <f t="shared" si="27"/>
        <v>0</v>
      </c>
      <c r="W74" s="63">
        <f t="shared" si="28"/>
        <v>0</v>
      </c>
      <c r="X74" s="33">
        <f>SUM('[15]G SAN BLAS'!$R$197)</f>
        <v>0</v>
      </c>
      <c r="Y74" s="9">
        <f t="shared" si="55"/>
        <v>0</v>
      </c>
      <c r="Z74" s="33">
        <f>SUM('[15]G SAN BLAS'!$M$172)</f>
        <v>0</v>
      </c>
      <c r="AA74" s="62">
        <f t="shared" si="43"/>
        <v>480000000</v>
      </c>
      <c r="AB74" s="63">
        <f t="shared" si="35"/>
        <v>4.2415436143171913E-3</v>
      </c>
      <c r="AC74" s="8">
        <f t="shared" si="44"/>
        <v>0</v>
      </c>
      <c r="AD74" s="63">
        <f t="shared" si="45"/>
        <v>0</v>
      </c>
      <c r="AE74" s="8">
        <f t="shared" si="46"/>
        <v>218711000</v>
      </c>
      <c r="AF74" s="63">
        <f t="shared" si="47"/>
        <v>45.564791666666665</v>
      </c>
      <c r="AG74" s="8">
        <f t="shared" si="48"/>
        <v>218711000</v>
      </c>
      <c r="AH74" s="9">
        <f t="shared" si="49"/>
        <v>45.564791666666665</v>
      </c>
    </row>
    <row r="75" spans="1:34" x14ac:dyDescent="0.2">
      <c r="A75" s="81" t="s">
        <v>90</v>
      </c>
      <c r="B75" s="33">
        <f>SUM('[15]G CHAPINERO'!$O$174)</f>
        <v>0</v>
      </c>
      <c r="C75" s="58">
        <f t="shared" si="52"/>
        <v>0</v>
      </c>
      <c r="D75" s="33">
        <f>SUM('[15]G CHAPINERO'!$U$174)</f>
        <v>0</v>
      </c>
      <c r="E75" s="63">
        <f t="shared" si="56"/>
        <v>0</v>
      </c>
      <c r="F75" s="8">
        <f t="shared" si="57"/>
        <v>0</v>
      </c>
      <c r="G75" s="63">
        <f t="shared" si="58"/>
        <v>0</v>
      </c>
      <c r="H75" s="33">
        <f>SUM('[15]G CHAPINERO'!$R$174)</f>
        <v>0</v>
      </c>
      <c r="I75" s="9">
        <f t="shared" si="53"/>
        <v>0</v>
      </c>
      <c r="J75" s="33"/>
      <c r="K75" s="58">
        <f t="shared" si="50"/>
        <v>0</v>
      </c>
      <c r="L75" s="33"/>
      <c r="M75" s="63">
        <f t="shared" si="23"/>
        <v>0</v>
      </c>
      <c r="N75" s="8">
        <f t="shared" si="24"/>
        <v>0</v>
      </c>
      <c r="O75" s="63">
        <f t="shared" si="25"/>
        <v>0</v>
      </c>
      <c r="P75" s="33"/>
      <c r="Q75" s="9">
        <f t="shared" si="54"/>
        <v>0</v>
      </c>
      <c r="R75" s="33">
        <f>SUM('[15]G CHAPINERO'!$O$197)</f>
        <v>0</v>
      </c>
      <c r="S75" s="58">
        <f t="shared" si="51"/>
        <v>0</v>
      </c>
      <c r="T75" s="33">
        <f>SUM('[15]G CHAPINERO'!$U$197)</f>
        <v>0</v>
      </c>
      <c r="U75" s="63">
        <f t="shared" si="26"/>
        <v>0</v>
      </c>
      <c r="V75" s="8">
        <f t="shared" si="27"/>
        <v>0</v>
      </c>
      <c r="W75" s="63">
        <f t="shared" si="28"/>
        <v>0</v>
      </c>
      <c r="X75" s="33">
        <f>SUM('[15]G CHAPINERO'!$R$197)</f>
        <v>0</v>
      </c>
      <c r="Y75" s="9">
        <f t="shared" si="55"/>
        <v>0</v>
      </c>
      <c r="Z75" s="33">
        <f>SUM('[15]G CHAPINERO'!$M$172)</f>
        <v>0</v>
      </c>
      <c r="AA75" s="62">
        <f t="shared" si="43"/>
        <v>0</v>
      </c>
      <c r="AB75" s="63">
        <f t="shared" si="35"/>
        <v>0</v>
      </c>
      <c r="AC75" s="8">
        <f t="shared" si="44"/>
        <v>0</v>
      </c>
      <c r="AD75" s="63">
        <f t="shared" si="45"/>
        <v>0</v>
      </c>
      <c r="AE75" s="8">
        <f t="shared" si="46"/>
        <v>0</v>
      </c>
      <c r="AF75" s="63">
        <f t="shared" si="47"/>
        <v>0</v>
      </c>
      <c r="AG75" s="8">
        <f t="shared" si="48"/>
        <v>0</v>
      </c>
      <c r="AH75" s="9">
        <f t="shared" si="49"/>
        <v>0</v>
      </c>
    </row>
    <row r="76" spans="1:34" x14ac:dyDescent="0.2">
      <c r="A76" s="81" t="s">
        <v>91</v>
      </c>
      <c r="B76" s="33">
        <f>SUM('[15]G SUBA'!$O$174)</f>
        <v>0</v>
      </c>
      <c r="C76" s="58">
        <f t="shared" si="52"/>
        <v>0</v>
      </c>
      <c r="D76" s="33">
        <f>SUM('[15]G SUBA'!$U$174)</f>
        <v>0</v>
      </c>
      <c r="E76" s="63">
        <f t="shared" si="56"/>
        <v>0</v>
      </c>
      <c r="F76" s="8">
        <f t="shared" si="57"/>
        <v>0</v>
      </c>
      <c r="G76" s="63">
        <f t="shared" si="58"/>
        <v>0</v>
      </c>
      <c r="H76" s="33">
        <f>SUM('[15]G SUBA'!$R$174)</f>
        <v>0</v>
      </c>
      <c r="I76" s="9">
        <f t="shared" si="53"/>
        <v>0</v>
      </c>
      <c r="J76" s="33"/>
      <c r="K76" s="58">
        <f t="shared" si="50"/>
        <v>0</v>
      </c>
      <c r="L76" s="33"/>
      <c r="M76" s="63">
        <f t="shared" si="23"/>
        <v>0</v>
      </c>
      <c r="N76" s="8">
        <f t="shared" si="24"/>
        <v>0</v>
      </c>
      <c r="O76" s="63">
        <f t="shared" si="25"/>
        <v>0</v>
      </c>
      <c r="P76" s="33"/>
      <c r="Q76" s="9">
        <f t="shared" si="54"/>
        <v>0</v>
      </c>
      <c r="R76" s="33">
        <f>SUM('[15]G SUBA'!$O$197)</f>
        <v>0</v>
      </c>
      <c r="S76" s="58">
        <f t="shared" si="51"/>
        <v>0</v>
      </c>
      <c r="T76" s="33">
        <f>SUM('[15]G SUBA'!$U$197)</f>
        <v>0</v>
      </c>
      <c r="U76" s="63">
        <f t="shared" si="26"/>
        <v>0</v>
      </c>
      <c r="V76" s="8">
        <f t="shared" si="27"/>
        <v>0</v>
      </c>
      <c r="W76" s="63">
        <f t="shared" si="28"/>
        <v>0</v>
      </c>
      <c r="X76" s="33">
        <f>SUM('[15]G SUBA'!$R$197)</f>
        <v>0</v>
      </c>
      <c r="Y76" s="9">
        <f t="shared" si="55"/>
        <v>0</v>
      </c>
      <c r="Z76" s="33">
        <f>SUM('[15]G SUBA'!$M$172)</f>
        <v>0</v>
      </c>
      <c r="AA76" s="62">
        <f t="shared" si="43"/>
        <v>0</v>
      </c>
      <c r="AB76" s="63">
        <f t="shared" si="35"/>
        <v>0</v>
      </c>
      <c r="AC76" s="8">
        <f t="shared" si="44"/>
        <v>0</v>
      </c>
      <c r="AD76" s="63">
        <f t="shared" si="45"/>
        <v>0</v>
      </c>
      <c r="AE76" s="8">
        <f t="shared" si="46"/>
        <v>0</v>
      </c>
      <c r="AF76" s="63">
        <f t="shared" si="47"/>
        <v>0</v>
      </c>
      <c r="AG76" s="8">
        <f t="shared" si="48"/>
        <v>0</v>
      </c>
      <c r="AH76" s="9">
        <f t="shared" si="49"/>
        <v>0</v>
      </c>
    </row>
    <row r="77" spans="1:34" x14ac:dyDescent="0.2">
      <c r="A77" s="81" t="s">
        <v>92</v>
      </c>
      <c r="B77" s="33">
        <f>SUM('[15]G USAQUEN'!$O$174)</f>
        <v>250000000</v>
      </c>
      <c r="C77" s="58">
        <f t="shared" si="52"/>
        <v>3.7517989614591091E-3</v>
      </c>
      <c r="D77" s="33">
        <f>SUM('[15]G USAQUEN'!$U$174)</f>
        <v>227533058</v>
      </c>
      <c r="E77" s="63">
        <f t="shared" si="56"/>
        <v>91.013223199999999</v>
      </c>
      <c r="F77" s="8">
        <f t="shared" si="57"/>
        <v>0</v>
      </c>
      <c r="G77" s="63">
        <f t="shared" si="58"/>
        <v>0</v>
      </c>
      <c r="H77" s="33">
        <f>SUM('[15]G USAQUEN'!$R$174)</f>
        <v>227533058</v>
      </c>
      <c r="I77" s="9">
        <f t="shared" si="53"/>
        <v>91.013223199999999</v>
      </c>
      <c r="J77" s="33"/>
      <c r="K77" s="58">
        <f t="shared" si="50"/>
        <v>0</v>
      </c>
      <c r="L77" s="33"/>
      <c r="M77" s="63">
        <f t="shared" si="23"/>
        <v>0</v>
      </c>
      <c r="N77" s="8">
        <f t="shared" si="24"/>
        <v>0</v>
      </c>
      <c r="O77" s="63">
        <f t="shared" si="25"/>
        <v>0</v>
      </c>
      <c r="P77" s="33"/>
      <c r="Q77" s="9">
        <f t="shared" si="54"/>
        <v>0</v>
      </c>
      <c r="R77" s="33">
        <f>SUM('[15]G USAQUEN'!$O$197)</f>
        <v>0</v>
      </c>
      <c r="S77" s="58">
        <f t="shared" si="51"/>
        <v>0</v>
      </c>
      <c r="T77" s="33">
        <f>SUM('[15]G USAQUEN'!$U$197)</f>
        <v>0</v>
      </c>
      <c r="U77" s="63">
        <f t="shared" si="26"/>
        <v>0</v>
      </c>
      <c r="V77" s="8">
        <f t="shared" si="27"/>
        <v>0</v>
      </c>
      <c r="W77" s="63">
        <f t="shared" si="28"/>
        <v>0</v>
      </c>
      <c r="X77" s="33">
        <f>SUM('[15]G USAQUEN'!$R$197)</f>
        <v>0</v>
      </c>
      <c r="Y77" s="9">
        <f t="shared" si="55"/>
        <v>0</v>
      </c>
      <c r="Z77" s="33">
        <f>SUM('[15]G USAQUEN'!$M$172)</f>
        <v>0</v>
      </c>
      <c r="AA77" s="62">
        <f t="shared" si="43"/>
        <v>250000000</v>
      </c>
      <c r="AB77" s="63">
        <f t="shared" si="35"/>
        <v>2.209137299123537E-3</v>
      </c>
      <c r="AC77" s="8">
        <f t="shared" si="44"/>
        <v>227533058</v>
      </c>
      <c r="AD77" s="63">
        <f t="shared" si="45"/>
        <v>91.013223199999999</v>
      </c>
      <c r="AE77" s="8">
        <f t="shared" si="46"/>
        <v>0</v>
      </c>
      <c r="AF77" s="63">
        <f t="shared" si="47"/>
        <v>0</v>
      </c>
      <c r="AG77" s="8">
        <f t="shared" si="48"/>
        <v>227533058</v>
      </c>
      <c r="AH77" s="9">
        <f t="shared" si="49"/>
        <v>91.013223199999999</v>
      </c>
    </row>
    <row r="78" spans="1:34" x14ac:dyDescent="0.2">
      <c r="A78" s="81" t="s">
        <v>93</v>
      </c>
      <c r="B78" s="33">
        <f>SUM('[15]G USME'!$O$174)</f>
        <v>13922090529</v>
      </c>
      <c r="C78" s="58">
        <f t="shared" si="52"/>
        <v>0.20893153915216761</v>
      </c>
      <c r="D78" s="33">
        <f>SUM('[15]G USME'!$U$174)</f>
        <v>19400000</v>
      </c>
      <c r="E78" s="63">
        <f t="shared" si="56"/>
        <v>0.13934688874195583</v>
      </c>
      <c r="F78" s="8">
        <f t="shared" si="57"/>
        <v>29100000</v>
      </c>
      <c r="G78" s="63">
        <f t="shared" si="58"/>
        <v>0.20902033311293375</v>
      </c>
      <c r="H78" s="33">
        <f>SUM('[15]G USME'!$R$174)</f>
        <v>48500000</v>
      </c>
      <c r="I78" s="9">
        <f t="shared" si="53"/>
        <v>0.34836722185488955</v>
      </c>
      <c r="J78" s="33"/>
      <c r="K78" s="58">
        <f t="shared" si="50"/>
        <v>0</v>
      </c>
      <c r="L78" s="33"/>
      <c r="M78" s="63">
        <f t="shared" si="23"/>
        <v>0</v>
      </c>
      <c r="N78" s="8">
        <f t="shared" si="24"/>
        <v>0</v>
      </c>
      <c r="O78" s="63">
        <f t="shared" si="25"/>
        <v>0</v>
      </c>
      <c r="P78" s="33"/>
      <c r="Q78" s="9">
        <f t="shared" si="54"/>
        <v>0</v>
      </c>
      <c r="R78" s="33">
        <f>SUM('[15]G USME'!$O$197)</f>
        <v>0</v>
      </c>
      <c r="S78" s="58">
        <f t="shared" si="51"/>
        <v>0</v>
      </c>
      <c r="T78" s="33">
        <f>SUM('[15]G USME'!$U$197)</f>
        <v>0</v>
      </c>
      <c r="U78" s="63">
        <f t="shared" si="26"/>
        <v>0</v>
      </c>
      <c r="V78" s="8">
        <f t="shared" si="27"/>
        <v>0</v>
      </c>
      <c r="W78" s="63">
        <f t="shared" si="28"/>
        <v>0</v>
      </c>
      <c r="X78" s="33">
        <f>SUM('[15]G USME'!$R$197)</f>
        <v>0</v>
      </c>
      <c r="Y78" s="9">
        <f t="shared" si="55"/>
        <v>0</v>
      </c>
      <c r="Z78" s="33">
        <f>SUM('[15]G USME'!$M$172)</f>
        <v>13922000000</v>
      </c>
      <c r="AA78" s="62">
        <f t="shared" si="43"/>
        <v>13922090529</v>
      </c>
      <c r="AB78" s="63">
        <f t="shared" si="35"/>
        <v>0.12302323787755373</v>
      </c>
      <c r="AC78" s="8">
        <f t="shared" si="44"/>
        <v>19400000</v>
      </c>
      <c r="AD78" s="63">
        <f t="shared" si="45"/>
        <v>0.13934688874195583</v>
      </c>
      <c r="AE78" s="8">
        <f t="shared" si="46"/>
        <v>29100000</v>
      </c>
      <c r="AF78" s="63">
        <f t="shared" si="47"/>
        <v>0.20902033311293375</v>
      </c>
      <c r="AG78" s="8">
        <f t="shared" si="48"/>
        <v>48500000</v>
      </c>
      <c r="AH78" s="9">
        <f t="shared" si="49"/>
        <v>0.34836722185488955</v>
      </c>
    </row>
    <row r="79" spans="1:34" x14ac:dyDescent="0.2">
      <c r="A79" s="81" t="s">
        <v>94</v>
      </c>
      <c r="B79" s="33">
        <f>SUM('[15]G DEL SUR'!$O$174)</f>
        <v>9938248910</v>
      </c>
      <c r="C79" s="58">
        <f t="shared" si="52"/>
        <v>0.14914524775704049</v>
      </c>
      <c r="D79" s="33">
        <f>SUM('[15]G DEL SUR'!$U$174)</f>
        <v>0</v>
      </c>
      <c r="E79" s="63">
        <f t="shared" si="56"/>
        <v>0</v>
      </c>
      <c r="F79" s="8">
        <f t="shared" si="57"/>
        <v>47623340</v>
      </c>
      <c r="G79" s="63">
        <f t="shared" si="58"/>
        <v>0.47919246570772395</v>
      </c>
      <c r="H79" s="33">
        <f>SUM('[15]G DEL SUR'!$R$174)</f>
        <v>47623340</v>
      </c>
      <c r="I79" s="9">
        <f t="shared" si="53"/>
        <v>0.47919246570772395</v>
      </c>
      <c r="J79" s="33"/>
      <c r="K79" s="58">
        <f t="shared" si="50"/>
        <v>0</v>
      </c>
      <c r="L79" s="33"/>
      <c r="M79" s="63">
        <f t="shared" si="23"/>
        <v>0</v>
      </c>
      <c r="N79" s="8">
        <f t="shared" si="24"/>
        <v>0</v>
      </c>
      <c r="O79" s="63">
        <f t="shared" si="25"/>
        <v>0</v>
      </c>
      <c r="P79" s="33"/>
      <c r="Q79" s="9">
        <f t="shared" si="54"/>
        <v>0</v>
      </c>
      <c r="R79" s="33">
        <f>SUM('[15]G DEL SUR'!$O$197)</f>
        <v>0</v>
      </c>
      <c r="S79" s="58">
        <f t="shared" si="51"/>
        <v>0</v>
      </c>
      <c r="T79" s="33">
        <f>SUM('[15]G DEL SUR'!$U$197)</f>
        <v>0</v>
      </c>
      <c r="U79" s="63">
        <f t="shared" si="26"/>
        <v>0</v>
      </c>
      <c r="V79" s="8">
        <f t="shared" si="27"/>
        <v>0</v>
      </c>
      <c r="W79" s="63">
        <f t="shared" si="28"/>
        <v>0</v>
      </c>
      <c r="X79" s="33">
        <f>SUM('[15]G DEL SUR'!$R$197)</f>
        <v>0</v>
      </c>
      <c r="Y79" s="9">
        <f t="shared" si="55"/>
        <v>0</v>
      </c>
      <c r="Z79" s="33">
        <f>SUM('[15]G DEL SUR'!$M$172)</f>
        <v>0</v>
      </c>
      <c r="AA79" s="62">
        <f t="shared" si="43"/>
        <v>9938248910</v>
      </c>
      <c r="AB79" s="63">
        <f t="shared" si="35"/>
        <v>8.781982542021935E-2</v>
      </c>
      <c r="AC79" s="8">
        <f t="shared" si="44"/>
        <v>0</v>
      </c>
      <c r="AD79" s="63">
        <f t="shared" si="45"/>
        <v>0</v>
      </c>
      <c r="AE79" s="8">
        <f t="shared" si="46"/>
        <v>47623340</v>
      </c>
      <c r="AF79" s="63">
        <f t="shared" si="47"/>
        <v>0.47919246570772395</v>
      </c>
      <c r="AG79" s="8">
        <f t="shared" si="48"/>
        <v>47623340</v>
      </c>
      <c r="AH79" s="9">
        <f t="shared" si="49"/>
        <v>0.47919246570772395</v>
      </c>
    </row>
    <row r="80" spans="1:34" x14ac:dyDescent="0.2">
      <c r="A80" s="81" t="s">
        <v>95</v>
      </c>
      <c r="B80" s="33">
        <f>SUM('[15]G NAZARETH'!$O$174)</f>
        <v>0</v>
      </c>
      <c r="C80" s="58">
        <f t="shared" si="52"/>
        <v>0</v>
      </c>
      <c r="D80" s="33">
        <f>SUM('[15]G NAZARETH'!$U$174)</f>
        <v>0</v>
      </c>
      <c r="E80" s="63">
        <f t="shared" si="56"/>
        <v>0</v>
      </c>
      <c r="F80" s="8">
        <f t="shared" si="57"/>
        <v>0</v>
      </c>
      <c r="G80" s="63">
        <f t="shared" si="58"/>
        <v>0</v>
      </c>
      <c r="H80" s="33">
        <f>SUM('[15]G NAZARETH'!$R$174)</f>
        <v>0</v>
      </c>
      <c r="I80" s="9">
        <f t="shared" si="53"/>
        <v>0</v>
      </c>
      <c r="J80" s="33"/>
      <c r="K80" s="58">
        <f t="shared" si="50"/>
        <v>0</v>
      </c>
      <c r="L80" s="33"/>
      <c r="M80" s="63">
        <f t="shared" si="23"/>
        <v>0</v>
      </c>
      <c r="N80" s="8">
        <f t="shared" si="24"/>
        <v>0</v>
      </c>
      <c r="O80" s="63">
        <f t="shared" si="25"/>
        <v>0</v>
      </c>
      <c r="P80" s="33"/>
      <c r="Q80" s="9">
        <f t="shared" si="54"/>
        <v>0</v>
      </c>
      <c r="R80" s="33">
        <f>SUM('[15]G NAZARETH'!$O$197)</f>
        <v>0</v>
      </c>
      <c r="S80" s="58">
        <f t="shared" si="51"/>
        <v>0</v>
      </c>
      <c r="T80" s="33">
        <f>SUM('[15]G NAZARETH'!$U$197)</f>
        <v>0</v>
      </c>
      <c r="U80" s="63">
        <f t="shared" si="26"/>
        <v>0</v>
      </c>
      <c r="V80" s="8">
        <f t="shared" si="27"/>
        <v>0</v>
      </c>
      <c r="W80" s="63">
        <f t="shared" si="28"/>
        <v>0</v>
      </c>
      <c r="X80" s="33">
        <f>SUM('[15]G NAZARETH'!$R$197)</f>
        <v>0</v>
      </c>
      <c r="Y80" s="9">
        <f t="shared" si="55"/>
        <v>0</v>
      </c>
      <c r="Z80" s="33">
        <f>SUM('[15]G NAZARETH'!$M$172)</f>
        <v>0</v>
      </c>
      <c r="AA80" s="62">
        <f t="shared" si="43"/>
        <v>0</v>
      </c>
      <c r="AB80" s="63">
        <f t="shared" si="35"/>
        <v>0</v>
      </c>
      <c r="AC80" s="8">
        <f t="shared" si="44"/>
        <v>0</v>
      </c>
      <c r="AD80" s="63">
        <f t="shared" si="45"/>
        <v>0</v>
      </c>
      <c r="AE80" s="8">
        <f t="shared" si="46"/>
        <v>0</v>
      </c>
      <c r="AF80" s="63">
        <f t="shared" si="47"/>
        <v>0</v>
      </c>
      <c r="AG80" s="8">
        <f t="shared" si="48"/>
        <v>0</v>
      </c>
      <c r="AH80" s="9">
        <f t="shared" si="49"/>
        <v>0</v>
      </c>
    </row>
    <row r="81" spans="1:34" x14ac:dyDescent="0.2">
      <c r="A81" s="81" t="s">
        <v>96</v>
      </c>
      <c r="B81" s="33">
        <f>SUM('[15]G PABLO VI'!$O$174)</f>
        <v>2231488121</v>
      </c>
      <c r="C81" s="58">
        <f t="shared" si="52"/>
        <v>3.3488379259504555E-2</v>
      </c>
      <c r="D81" s="33">
        <f>SUM('[15]G PABLO VI'!$U$174)</f>
        <v>1211687889</v>
      </c>
      <c r="E81" s="63">
        <f t="shared" si="56"/>
        <v>54.299544666946495</v>
      </c>
      <c r="F81" s="8">
        <f t="shared" si="57"/>
        <v>578432594</v>
      </c>
      <c r="G81" s="63">
        <f t="shared" si="58"/>
        <v>25.921383517864577</v>
      </c>
      <c r="H81" s="33">
        <f>SUM('[15]G PABLO VI'!$R$174)</f>
        <v>1790120483</v>
      </c>
      <c r="I81" s="9">
        <f t="shared" si="53"/>
        <v>80.220928184811072</v>
      </c>
      <c r="J81" s="33"/>
      <c r="K81" s="58">
        <f t="shared" si="50"/>
        <v>0</v>
      </c>
      <c r="L81" s="33"/>
      <c r="M81" s="63">
        <f t="shared" si="23"/>
        <v>0</v>
      </c>
      <c r="N81" s="8">
        <f t="shared" si="24"/>
        <v>0</v>
      </c>
      <c r="O81" s="63">
        <f t="shared" si="25"/>
        <v>0</v>
      </c>
      <c r="P81" s="33"/>
      <c r="Q81" s="9">
        <f t="shared" si="54"/>
        <v>0</v>
      </c>
      <c r="R81" s="33">
        <f>SUM('[15]G PABLO VI'!$O$197)</f>
        <v>300000000</v>
      </c>
      <c r="S81" s="58">
        <f t="shared" si="51"/>
        <v>3.9624357235422278E-2</v>
      </c>
      <c r="T81" s="33">
        <f>SUM('[15]G PABLO VI'!$U$197)</f>
        <v>252117500</v>
      </c>
      <c r="U81" s="63">
        <f t="shared" si="26"/>
        <v>84.039166666666659</v>
      </c>
      <c r="V81" s="8">
        <f t="shared" si="27"/>
        <v>306500</v>
      </c>
      <c r="W81" s="63">
        <f t="shared" si="28"/>
        <v>0.10216666666666666</v>
      </c>
      <c r="X81" s="33">
        <f>SUM('[15]G PABLO VI'!$R$197)</f>
        <v>252424000</v>
      </c>
      <c r="Y81" s="9">
        <f t="shared" si="55"/>
        <v>84.141333333333336</v>
      </c>
      <c r="Z81" s="33">
        <f>SUM('[15]G PABLO VI'!$M$172)</f>
        <v>0</v>
      </c>
      <c r="AA81" s="62">
        <f t="shared" si="43"/>
        <v>2531488121</v>
      </c>
      <c r="AB81" s="63">
        <f t="shared" si="35"/>
        <v>2.2369619321557028E-2</v>
      </c>
      <c r="AC81" s="8">
        <f t="shared" si="44"/>
        <v>1463805389</v>
      </c>
      <c r="AD81" s="63">
        <f t="shared" si="45"/>
        <v>57.823909061906278</v>
      </c>
      <c r="AE81" s="8">
        <f t="shared" si="46"/>
        <v>578739094</v>
      </c>
      <c r="AF81" s="63">
        <f t="shared" si="47"/>
        <v>22.861616027310603</v>
      </c>
      <c r="AG81" s="8">
        <f t="shared" si="48"/>
        <v>2042544483</v>
      </c>
      <c r="AH81" s="9">
        <f t="shared" si="49"/>
        <v>80.685525089216881</v>
      </c>
    </row>
    <row r="82" spans="1:34" x14ac:dyDescent="0.2">
      <c r="A82" s="81" t="s">
        <v>97</v>
      </c>
      <c r="B82" s="33">
        <f>SUM('[15]G SAN CRISTOBAL'!$O$174)</f>
        <v>274835543</v>
      </c>
      <c r="C82" s="58">
        <f t="shared" si="52"/>
        <v>4.1245108191978012E-3</v>
      </c>
      <c r="D82" s="33">
        <f>SUM('[15]G SAN CRISTOBAL'!$U$174)</f>
        <v>0</v>
      </c>
      <c r="E82" s="63">
        <f t="shared" si="56"/>
        <v>0</v>
      </c>
      <c r="F82" s="8">
        <f t="shared" si="57"/>
        <v>205828098</v>
      </c>
      <c r="G82" s="63">
        <f t="shared" si="58"/>
        <v>74.891368035319942</v>
      </c>
      <c r="H82" s="33">
        <f>SUM('[15]G SAN CRISTOBAL'!$R$174)</f>
        <v>205828098</v>
      </c>
      <c r="I82" s="9">
        <f t="shared" si="53"/>
        <v>74.891368035319942</v>
      </c>
      <c r="J82" s="33"/>
      <c r="K82" s="58">
        <f t="shared" si="50"/>
        <v>0</v>
      </c>
      <c r="L82" s="33"/>
      <c r="M82" s="63">
        <f t="shared" si="23"/>
        <v>0</v>
      </c>
      <c r="N82" s="8">
        <f t="shared" si="24"/>
        <v>0</v>
      </c>
      <c r="O82" s="63">
        <f t="shared" si="25"/>
        <v>0</v>
      </c>
      <c r="P82" s="33"/>
      <c r="Q82" s="9">
        <f t="shared" si="54"/>
        <v>0</v>
      </c>
      <c r="R82" s="33">
        <f>SUM('[15]G SAN CRISTOBAL'!$O$197)</f>
        <v>0</v>
      </c>
      <c r="S82" s="58">
        <f t="shared" si="51"/>
        <v>0</v>
      </c>
      <c r="T82" s="33">
        <f>SUM('[15]G SAN CRISTOBAL'!$U$197)</f>
        <v>0</v>
      </c>
      <c r="U82" s="63">
        <f t="shared" si="26"/>
        <v>0</v>
      </c>
      <c r="V82" s="8">
        <f t="shared" si="27"/>
        <v>0</v>
      </c>
      <c r="W82" s="63">
        <f t="shared" si="28"/>
        <v>0</v>
      </c>
      <c r="X82" s="33">
        <f>SUM('[15]G SAN CRISTOBAL'!$R$197)</f>
        <v>0</v>
      </c>
      <c r="Y82" s="9">
        <f t="shared" si="55"/>
        <v>0</v>
      </c>
      <c r="Z82" s="33">
        <f>SUM('[15]G SAN CRISTOBAL'!$M$172)</f>
        <v>0</v>
      </c>
      <c r="AA82" s="62">
        <f t="shared" si="43"/>
        <v>274835543</v>
      </c>
      <c r="AB82" s="63">
        <f t="shared" si="35"/>
        <v>2.4285977966646828E-3</v>
      </c>
      <c r="AC82" s="8">
        <f t="shared" si="44"/>
        <v>0</v>
      </c>
      <c r="AD82" s="63">
        <f t="shared" si="45"/>
        <v>0</v>
      </c>
      <c r="AE82" s="8">
        <f t="shared" si="46"/>
        <v>205828098</v>
      </c>
      <c r="AF82" s="63">
        <f t="shared" si="47"/>
        <v>74.891368035319942</v>
      </c>
      <c r="AG82" s="8">
        <f t="shared" si="48"/>
        <v>205828098</v>
      </c>
      <c r="AH82" s="9">
        <f t="shared" si="49"/>
        <v>74.891368035319942</v>
      </c>
    </row>
    <row r="83" spans="1:34" x14ac:dyDescent="0.2">
      <c r="A83" s="81" t="s">
        <v>98</v>
      </c>
      <c r="B83" s="33">
        <f>SUM('[15]G RAFAEL URIBE'!$O$174)</f>
        <v>10717151757</v>
      </c>
      <c r="C83" s="58">
        <f t="shared" si="52"/>
        <v>0.16083439532684907</v>
      </c>
      <c r="D83" s="33">
        <f>SUM('[15]G RAFAEL URIBE'!$U$174)</f>
        <v>35838699</v>
      </c>
      <c r="E83" s="63">
        <f t="shared" si="56"/>
        <v>0.33440507153956872</v>
      </c>
      <c r="F83" s="8">
        <f t="shared" si="57"/>
        <v>23371867</v>
      </c>
      <c r="G83" s="63">
        <f t="shared" si="58"/>
        <v>0.21807908976127416</v>
      </c>
      <c r="H83" s="33">
        <f>SUM('[15]G RAFAEL URIBE'!$R$174)</f>
        <v>59210566</v>
      </c>
      <c r="I83" s="9">
        <f t="shared" si="53"/>
        <v>0.55248416130084288</v>
      </c>
      <c r="J83" s="33"/>
      <c r="K83" s="58">
        <f t="shared" si="50"/>
        <v>0</v>
      </c>
      <c r="L83" s="33"/>
      <c r="M83" s="63">
        <f t="shared" si="23"/>
        <v>0</v>
      </c>
      <c r="N83" s="8">
        <f t="shared" si="24"/>
        <v>0</v>
      </c>
      <c r="O83" s="63">
        <f t="shared" si="25"/>
        <v>0</v>
      </c>
      <c r="P83" s="33"/>
      <c r="Q83" s="9">
        <f t="shared" si="54"/>
        <v>0</v>
      </c>
      <c r="R83" s="33">
        <f>SUM('[15]G RAFAEL URIBE'!$O$197)</f>
        <v>0</v>
      </c>
      <c r="S83" s="58">
        <f t="shared" si="51"/>
        <v>0</v>
      </c>
      <c r="T83" s="33">
        <f>SUM('[15]G RAFAEL URIBE'!$U$197)</f>
        <v>0</v>
      </c>
      <c r="U83" s="63">
        <f t="shared" si="26"/>
        <v>0</v>
      </c>
      <c r="V83" s="8">
        <f t="shared" si="27"/>
        <v>0</v>
      </c>
      <c r="W83" s="63">
        <f t="shared" si="28"/>
        <v>0</v>
      </c>
      <c r="X83" s="33">
        <f>SUM('[15]G RAFAEL URIBE'!$R$197)</f>
        <v>0</v>
      </c>
      <c r="Y83" s="9">
        <f t="shared" si="55"/>
        <v>0</v>
      </c>
      <c r="Z83" s="33">
        <f>SUM('[15]G RAFAEL URIBE'!$M$172)</f>
        <v>0</v>
      </c>
      <c r="AA83" s="62">
        <f t="shared" si="43"/>
        <v>10717151757</v>
      </c>
      <c r="AB83" s="63">
        <f t="shared" si="35"/>
        <v>9.4702638747024184E-2</v>
      </c>
      <c r="AC83" s="8">
        <f t="shared" si="44"/>
        <v>35838699</v>
      </c>
      <c r="AD83" s="63">
        <f t="shared" si="45"/>
        <v>0.33440507153956872</v>
      </c>
      <c r="AE83" s="8">
        <f t="shared" si="46"/>
        <v>23371867</v>
      </c>
      <c r="AF83" s="63">
        <f t="shared" si="47"/>
        <v>0.21807908976127416</v>
      </c>
      <c r="AG83" s="8">
        <f t="shared" si="48"/>
        <v>59210566</v>
      </c>
      <c r="AH83" s="9">
        <f t="shared" si="49"/>
        <v>0.55248416130084288</v>
      </c>
    </row>
    <row r="84" spans="1:34" ht="15.75" thickBot="1" x14ac:dyDescent="0.25">
      <c r="A84" s="287" t="s">
        <v>99</v>
      </c>
      <c r="B84" s="33">
        <f>SUM('[15]G VISTA HERMOSA'!$O$174)</f>
        <v>100000000</v>
      </c>
      <c r="C84" s="283">
        <f t="shared" si="52"/>
        <v>1.5007195845836438E-3</v>
      </c>
      <c r="D84" s="33">
        <f>SUM('[15]G VISTA HERMOSA'!$U$174)</f>
        <v>28710000</v>
      </c>
      <c r="E84" s="283">
        <f t="shared" si="56"/>
        <v>28.71</v>
      </c>
      <c r="F84" s="284">
        <f t="shared" si="57"/>
        <v>68619800</v>
      </c>
      <c r="G84" s="283">
        <f t="shared" si="58"/>
        <v>68.619799999999998</v>
      </c>
      <c r="H84" s="33">
        <f>SUM('[15]G VISTA HERMOSA'!$R$174)</f>
        <v>97329800</v>
      </c>
      <c r="I84" s="285">
        <f t="shared" si="53"/>
        <v>97.329800000000006</v>
      </c>
      <c r="J84" s="33"/>
      <c r="K84" s="283">
        <f t="shared" si="50"/>
        <v>0</v>
      </c>
      <c r="L84" s="33"/>
      <c r="M84" s="283">
        <f t="shared" si="23"/>
        <v>0</v>
      </c>
      <c r="N84" s="284">
        <f t="shared" si="24"/>
        <v>0</v>
      </c>
      <c r="O84" s="283">
        <f t="shared" si="25"/>
        <v>0</v>
      </c>
      <c r="P84" s="33"/>
      <c r="Q84" s="285">
        <f t="shared" si="54"/>
        <v>0</v>
      </c>
      <c r="R84" s="33">
        <f>SUM('[15]G VISTA HERMOSA'!$O$197)</f>
        <v>0</v>
      </c>
      <c r="S84" s="283">
        <f t="shared" si="51"/>
        <v>0</v>
      </c>
      <c r="T84" s="33">
        <f>SUM('[15]G VISTA HERMOSA'!$U$197)</f>
        <v>0</v>
      </c>
      <c r="U84" s="283">
        <f t="shared" si="26"/>
        <v>0</v>
      </c>
      <c r="V84" s="284">
        <f t="shared" si="27"/>
        <v>0</v>
      </c>
      <c r="W84" s="283">
        <f t="shared" si="28"/>
        <v>0</v>
      </c>
      <c r="X84" s="33">
        <f>SUM('[15]G VISTA HERMOSA'!$R$197)</f>
        <v>0</v>
      </c>
      <c r="Y84" s="285">
        <f t="shared" si="55"/>
        <v>0</v>
      </c>
      <c r="Z84" s="33">
        <f>SUM('[15]G VISTA HERMOSA'!$M$172)</f>
        <v>0</v>
      </c>
      <c r="AA84" s="62">
        <f t="shared" si="43"/>
        <v>100000000</v>
      </c>
      <c r="AB84" s="63">
        <f t="shared" si="35"/>
        <v>8.8365491964941477E-4</v>
      </c>
      <c r="AC84" s="8">
        <f t="shared" si="44"/>
        <v>28710000</v>
      </c>
      <c r="AD84" s="63">
        <f t="shared" si="45"/>
        <v>28.71</v>
      </c>
      <c r="AE84" s="8">
        <f t="shared" si="46"/>
        <v>68619800</v>
      </c>
      <c r="AF84" s="63">
        <f t="shared" si="47"/>
        <v>68.619799999999998</v>
      </c>
      <c r="AG84" s="8">
        <f t="shared" si="48"/>
        <v>97329800</v>
      </c>
      <c r="AH84" s="9">
        <f t="shared" si="49"/>
        <v>97.329800000000006</v>
      </c>
    </row>
    <row r="85" spans="1:34" s="83" customFormat="1" ht="15.75" thickBot="1" x14ac:dyDescent="0.25">
      <c r="A85" s="84" t="s">
        <v>100</v>
      </c>
      <c r="B85" s="286">
        <f>SUM(B63:B84)</f>
        <v>72523322146</v>
      </c>
      <c r="C85" s="79">
        <f>IF(OR(B85=0,B$85=0),0,B85/B$86)*100</f>
        <v>1.0883716988357088</v>
      </c>
      <c r="D85" s="85">
        <f>SUM(D63:D84)</f>
        <v>4941058945</v>
      </c>
      <c r="E85" s="79">
        <f>IF(OR(D85=0,B85=0),0,D85/B85)*100</f>
        <v>6.8130620589235136</v>
      </c>
      <c r="F85" s="45">
        <f>SUM(H85-D85)</f>
        <v>10929867710</v>
      </c>
      <c r="G85" s="79">
        <f>IF(OR(F85=0,B85=0),0,F85/B85)*100</f>
        <v>15.070831542985008</v>
      </c>
      <c r="H85" s="85">
        <f>SUM(H63:H84)</f>
        <v>15870926655</v>
      </c>
      <c r="I85" s="46">
        <f t="shared" si="53"/>
        <v>21.883893601908522</v>
      </c>
      <c r="J85" s="286">
        <f>SUM(J63:J84)</f>
        <v>0</v>
      </c>
      <c r="K85" s="79">
        <f>IF(OR(J85=0,J$85=0),0,J85/J$86)*100</f>
        <v>0</v>
      </c>
      <c r="L85" s="85">
        <f>SUM(L63:L84)</f>
        <v>0</v>
      </c>
      <c r="M85" s="79">
        <f>IF(OR(L85=0,J85=0),0,L85/J85)*100</f>
        <v>0</v>
      </c>
      <c r="N85" s="45">
        <f>SUM(P85-L85)</f>
        <v>0</v>
      </c>
      <c r="O85" s="79">
        <f>IF(OR(N85=0,J85=0),0,N85/J85)*100</f>
        <v>0</v>
      </c>
      <c r="P85" s="85">
        <f>SUM(P63:P84)</f>
        <v>0</v>
      </c>
      <c r="Q85" s="46">
        <f t="shared" si="54"/>
        <v>0</v>
      </c>
      <c r="R85" s="286">
        <f>SUM(R63:R84)</f>
        <v>1901655442</v>
      </c>
      <c r="S85" s="79">
        <f>IF(OR(R85=0,R$85=0),0,R85/R$86)*100</f>
        <v>0.25117291524164281</v>
      </c>
      <c r="T85" s="85">
        <f>SUM(T63:T84)</f>
        <v>854032598</v>
      </c>
      <c r="U85" s="79">
        <f>IF(OR(T85=0,R85=0),0,T85/R85)*100</f>
        <v>44.909954723543443</v>
      </c>
      <c r="V85" s="45">
        <f>SUM(X85-T85)</f>
        <v>388992745</v>
      </c>
      <c r="W85" s="79">
        <f>IF(OR(V85=0,R85=0),0,V85/R85)*100</f>
        <v>20.455479810311505</v>
      </c>
      <c r="X85" s="85">
        <f>SUM(X63:X84)</f>
        <v>1243025343</v>
      </c>
      <c r="Y85" s="46">
        <f t="shared" si="55"/>
        <v>65.365434533854952</v>
      </c>
      <c r="Z85" s="286">
        <f>SUM(Z63:Z84)</f>
        <v>31452362626</v>
      </c>
      <c r="AA85" s="286">
        <f>SUM(AA63:AA84)</f>
        <v>74424977588</v>
      </c>
      <c r="AB85" s="79">
        <f>IF(OR(AA85=0,AA$85=0),0,AA85/AA$86)*100</f>
        <v>0.65765997590433634</v>
      </c>
      <c r="AC85" s="85">
        <f>SUM(AC63:AC84)</f>
        <v>5795091543</v>
      </c>
      <c r="AD85" s="79">
        <f>IF(OR(AC85=0,AA85=0),0,AC85/AA85)*100</f>
        <v>7.7864874546289125</v>
      </c>
      <c r="AE85" s="45">
        <f>SUM(AG85-AC85)</f>
        <v>11318860455</v>
      </c>
      <c r="AF85" s="79">
        <f>IF(OR(AE85=0,AA85=0),0,AE85/AA85)*100</f>
        <v>15.208416343312422</v>
      </c>
      <c r="AG85" s="85">
        <f>SUM(AG63:AG84)</f>
        <v>17113951998</v>
      </c>
      <c r="AH85" s="46">
        <f>IF(OR(AG85=0,AA85=0),0,AG85/AA85)*100</f>
        <v>22.994903797941333</v>
      </c>
    </row>
    <row r="86" spans="1:34" ht="15.75" thickBot="1" x14ac:dyDescent="0.25">
      <c r="A86" s="84" t="s">
        <v>101</v>
      </c>
      <c r="B86" s="77">
        <f>SUM(B54+B62+B85)</f>
        <v>6663470046454</v>
      </c>
      <c r="C86" s="79">
        <f>IF(OR(B86=0,B$85=0),0,B86/B$86)*100</f>
        <v>100</v>
      </c>
      <c r="D86" s="85">
        <f>SUM(D54+D62+D85)</f>
        <v>4753296863156</v>
      </c>
      <c r="E86" s="79">
        <f>IF(OR(D86=0,B86=0),0,D86/B86)*100</f>
        <v>71.333656938782084</v>
      </c>
      <c r="F86" s="45">
        <f>SUM(H86-D86)</f>
        <v>1004039835027</v>
      </c>
      <c r="G86" s="79">
        <f>IF(OR(F86=0,B86=0),0,F86/B86)*100</f>
        <v>15.067822441271497</v>
      </c>
      <c r="H86" s="85">
        <f>SUM(H54+H62+H85)</f>
        <v>5757336698183</v>
      </c>
      <c r="I86" s="46">
        <f t="shared" si="53"/>
        <v>86.401479380053587</v>
      </c>
      <c r="J86" s="77">
        <f>SUM(J54+J62+J85)</f>
        <v>3896054663666</v>
      </c>
      <c r="K86" s="79">
        <f>IF(OR(J86=0,J$85=0),0,J86/J$86)*100</f>
        <v>0</v>
      </c>
      <c r="L86" s="85">
        <f>SUM(L54+L62+L85)</f>
        <v>1572258270450.96</v>
      </c>
      <c r="M86" s="79">
        <f>IF(OR(L86=0,J86=0),0,L86/J86)*100</f>
        <v>40.355138882254302</v>
      </c>
      <c r="N86" s="45">
        <f>SUM(P86-L86)</f>
        <v>1694879952687.04</v>
      </c>
      <c r="O86" s="79">
        <f>IF(OR(N86=0,J86=0),0,N86/J86)*100</f>
        <v>43.502468496995874</v>
      </c>
      <c r="P86" s="85">
        <f>SUM(P54+P62+P85)</f>
        <v>3267138223138</v>
      </c>
      <c r="Q86" s="46">
        <f t="shared" si="54"/>
        <v>83.857607379250169</v>
      </c>
      <c r="R86" s="77">
        <f>SUM(R54+R62+R85)</f>
        <v>757110073023</v>
      </c>
      <c r="S86" s="79">
        <f>IF(OR(R86=0,R$85=0),0,R86/R$86)*100</f>
        <v>100</v>
      </c>
      <c r="T86" s="85">
        <f>SUM(T54+T62+T85)</f>
        <v>518592931865</v>
      </c>
      <c r="U86" s="79">
        <f>IF(OR(T86=0,R86=0),0,T86/R86)*100</f>
        <v>68.496371973279224</v>
      </c>
      <c r="V86" s="45">
        <f>SUM(X86-T86)</f>
        <v>197083199957</v>
      </c>
      <c r="W86" s="79">
        <f>IF(OR(V86=0,R86=0),0,V86/R86)*100</f>
        <v>26.03098373398776</v>
      </c>
      <c r="X86" s="85">
        <f>SUM(X54+X62+X85)</f>
        <v>715676131822</v>
      </c>
      <c r="Y86" s="46">
        <f t="shared" si="55"/>
        <v>94.527355707266977</v>
      </c>
      <c r="Z86" s="77">
        <f>SUM(Z54+Z62+Z85)</f>
        <v>11501875455003</v>
      </c>
      <c r="AA86" s="77">
        <f>SUM(AA54+AA62+AA85)</f>
        <v>11316634783143</v>
      </c>
      <c r="AB86" s="79">
        <f>IF(OR(AA86=0,AA$85=0),0,AA86/AA$86)*100</f>
        <v>100</v>
      </c>
      <c r="AC86" s="85">
        <f>SUM(AC54+AC62+AC85)</f>
        <v>6844148065471.96</v>
      </c>
      <c r="AD86" s="79">
        <f>IF(OR(AC86=0,AA86=0),0,AC86/AA86)*100</f>
        <v>60.478651088633228</v>
      </c>
      <c r="AE86" s="45">
        <f>SUM(AG86-AC86)</f>
        <v>2896002987671.04</v>
      </c>
      <c r="AF86" s="79">
        <f>IF(OR(AE86=0,AA86=0),0,AE86/AA86)*100</f>
        <v>25.590672873749181</v>
      </c>
      <c r="AG86" s="85">
        <f>SUM(AG54+AG62+AG85)</f>
        <v>9740151053143</v>
      </c>
      <c r="AH86" s="46">
        <f>IF(OR(AG86=0,AA86=0),0,AG86/AA86)*100</f>
        <v>86.069323962382398</v>
      </c>
    </row>
    <row r="88" spans="1:34" x14ac:dyDescent="0.2">
      <c r="R88" s="33"/>
      <c r="S88" s="49"/>
      <c r="T88" s="49"/>
      <c r="U88" s="49"/>
      <c r="V88" s="49"/>
      <c r="W88" s="49"/>
      <c r="X88" s="33"/>
      <c r="AA88" s="62">
        <f>SUM('[13]gas global'!$F$326)</f>
        <v>11316634783143</v>
      </c>
      <c r="AB88" s="63"/>
      <c r="AC88" s="8">
        <f>SUM('[13]gas global'!$J$326)</f>
        <v>6844148065472</v>
      </c>
      <c r="AD88" s="63"/>
      <c r="AE88" s="8"/>
      <c r="AF88" s="63"/>
      <c r="AG88" s="8">
        <f>SUM('[13]gas global'!$N$326)</f>
        <v>9740151053143</v>
      </c>
    </row>
    <row r="89" spans="1:34" x14ac:dyDescent="0.2">
      <c r="R89" s="525"/>
      <c r="S89" s="49"/>
      <c r="T89" s="49"/>
      <c r="U89" s="49"/>
      <c r="V89" s="49"/>
      <c r="W89" s="49"/>
      <c r="X89" s="525"/>
      <c r="AA89" s="62">
        <f>+AA86-AA88</f>
        <v>0</v>
      </c>
      <c r="AB89" s="63"/>
      <c r="AC89" s="62">
        <f>+AC86-AC88</f>
        <v>-4.00390625E-2</v>
      </c>
      <c r="AD89" s="63"/>
      <c r="AE89" s="8"/>
      <c r="AF89" s="63"/>
      <c r="AG89" s="62">
        <f>+AG86-AG88</f>
        <v>0</v>
      </c>
    </row>
  </sheetData>
  <mergeCells count="14">
    <mergeCell ref="A1:A2"/>
    <mergeCell ref="A3:A4"/>
    <mergeCell ref="AA3:AB3"/>
    <mergeCell ref="AC3:AH3"/>
    <mergeCell ref="B2:I2"/>
    <mergeCell ref="J2:Q2"/>
    <mergeCell ref="R2:Y2"/>
    <mergeCell ref="AA2:AH2"/>
    <mergeCell ref="B3:C3"/>
    <mergeCell ref="D3:I3"/>
    <mergeCell ref="J3:K3"/>
    <mergeCell ref="L3:Q3"/>
    <mergeCell ref="R3:S3"/>
    <mergeCell ref="T3:Y3"/>
  </mergeCells>
  <phoneticPr fontId="2" type="noConversion"/>
  <printOptions horizontalCentered="1" verticalCentered="1"/>
  <pageMargins left="0" right="0" top="0.51181102362204722" bottom="0.35433070866141736" header="0" footer="0"/>
  <pageSetup scale="65" orientation="portrait" horizontalDpi="4294967295" verticalDpi="4294967295" r:id="rId1"/>
  <headerFooter alignWithMargins="0">
    <oddHeader>&amp;CAdministración Distrital
Presupuesto y ejecución del Plan de Desarrollo por entidades&amp;R
Miles de pesos</oddHeader>
    <oddFooter>&amp;LFuente: formato CB103 de gastos de SIVICOF&amp;C&amp;P/&amp;N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A2" sqref="A2:A5"/>
    </sheetView>
  </sheetViews>
  <sheetFormatPr baseColWidth="10" defaultRowHeight="15" x14ac:dyDescent="0.2"/>
  <cols>
    <col min="1" max="1" width="34" customWidth="1"/>
    <col min="2" max="2" width="16.88671875" bestFit="1" customWidth="1"/>
    <col min="3" max="3" width="7" hidden="1" customWidth="1"/>
    <col min="4" max="4" width="15.77734375" bestFit="1" customWidth="1"/>
    <col min="5" max="5" width="7.109375" hidden="1" customWidth="1"/>
    <col min="6" max="6" width="13" hidden="1" customWidth="1"/>
    <col min="7" max="7" width="7.109375" hidden="1" customWidth="1"/>
    <col min="8" max="8" width="15.77734375" bestFit="1" customWidth="1"/>
    <col min="9" max="9" width="7.109375" hidden="1" customWidth="1"/>
  </cols>
  <sheetData>
    <row r="1" spans="1:9" ht="15.75" x14ac:dyDescent="0.25">
      <c r="A1" s="88"/>
      <c r="B1" s="550" t="s">
        <v>114</v>
      </c>
      <c r="C1" s="550"/>
      <c r="D1" s="550"/>
      <c r="E1" s="550"/>
      <c r="F1" s="550"/>
      <c r="G1" s="550"/>
      <c r="H1" s="550"/>
      <c r="I1" s="550"/>
    </row>
    <row r="2" spans="1:9" ht="15.75" x14ac:dyDescent="0.25">
      <c r="A2" s="556" t="s">
        <v>391</v>
      </c>
      <c r="B2" s="550" t="s">
        <v>395</v>
      </c>
      <c r="C2" s="550"/>
      <c r="D2" s="550"/>
      <c r="E2" s="550"/>
      <c r="F2" s="550"/>
      <c r="G2" s="550"/>
      <c r="H2" s="550"/>
      <c r="I2" s="550"/>
    </row>
    <row r="3" spans="1:9" ht="15.75" x14ac:dyDescent="0.25">
      <c r="A3" s="556"/>
      <c r="B3" s="550" t="s">
        <v>396</v>
      </c>
      <c r="C3" s="550"/>
      <c r="D3" s="550"/>
      <c r="E3" s="550"/>
      <c r="F3" s="550"/>
      <c r="G3" s="550"/>
      <c r="H3" s="550"/>
      <c r="I3" s="550"/>
    </row>
    <row r="4" spans="1:9" ht="15.75" x14ac:dyDescent="0.25">
      <c r="A4" s="556" t="s">
        <v>392</v>
      </c>
      <c r="B4" s="550" t="s">
        <v>111</v>
      </c>
      <c r="C4" s="550"/>
      <c r="D4" s="550"/>
      <c r="E4" s="550"/>
      <c r="F4" s="550"/>
      <c r="G4" s="550"/>
      <c r="H4" s="550"/>
      <c r="I4" s="550"/>
    </row>
    <row r="5" spans="1:9" ht="15.75" thickBot="1" x14ac:dyDescent="0.25">
      <c r="A5" s="557"/>
      <c r="B5" s="24"/>
      <c r="C5" s="24"/>
      <c r="D5" s="24"/>
      <c r="E5" s="24"/>
      <c r="F5" s="24"/>
      <c r="G5" s="24"/>
      <c r="H5" s="24"/>
      <c r="I5" s="24"/>
    </row>
    <row r="6" spans="1:9" ht="16.5" thickBot="1" x14ac:dyDescent="0.3">
      <c r="A6" s="440" t="s">
        <v>393</v>
      </c>
      <c r="B6" s="448" t="s">
        <v>8</v>
      </c>
      <c r="C6" s="90" t="s">
        <v>12</v>
      </c>
      <c r="D6" s="91" t="s">
        <v>13</v>
      </c>
      <c r="E6" s="92" t="s">
        <v>14</v>
      </c>
      <c r="F6" s="91" t="s">
        <v>112</v>
      </c>
      <c r="G6" s="92" t="s">
        <v>14</v>
      </c>
      <c r="H6" s="449" t="s">
        <v>16</v>
      </c>
      <c r="I6" s="444" t="s">
        <v>14</v>
      </c>
    </row>
    <row r="7" spans="1:9" ht="60" x14ac:dyDescent="0.2">
      <c r="A7" s="340" t="s">
        <v>349</v>
      </c>
      <c r="B7" s="450">
        <f>SUM(ejes!B86)</f>
        <v>6663470046454</v>
      </c>
      <c r="C7" s="338">
        <f>IF(OR(B7=0,B$10=0),0,B7/B$10)*100</f>
        <v>58.882080884855917</v>
      </c>
      <c r="D7" s="337">
        <f>SUM(ejes!D86)</f>
        <v>4753296863156</v>
      </c>
      <c r="E7" s="338">
        <f>IF(OR(D7=0,B7=0),0,D7/B7)*100</f>
        <v>71.333656938782084</v>
      </c>
      <c r="F7" s="337">
        <f>SUM(H7-D7)</f>
        <v>1004039835027</v>
      </c>
      <c r="G7" s="338">
        <f>IF(OR(F7=0,B7=0),0,F7/B7)*100</f>
        <v>15.067822441271497</v>
      </c>
      <c r="H7" s="451">
        <f>SUM(ejes!H86)</f>
        <v>5757336698183</v>
      </c>
      <c r="I7" s="445">
        <f>IF(OR(H7=0,B7=0),0,H7/B7)*100</f>
        <v>86.401479380053587</v>
      </c>
    </row>
    <row r="8" spans="1:9" ht="30" x14ac:dyDescent="0.2">
      <c r="A8" s="93" t="s">
        <v>333</v>
      </c>
      <c r="B8" s="452">
        <f>SUM(ejes!J86)</f>
        <v>3896054663666</v>
      </c>
      <c r="C8" s="94">
        <f>IF(OR(B8=0,B$10=0),0,B8/B$10)*100</f>
        <v>34.427678707715067</v>
      </c>
      <c r="D8" s="336">
        <f>SUM(ejes!L86)</f>
        <v>1572258270450.96</v>
      </c>
      <c r="E8" s="94">
        <f>IF(OR(D8=0,B8=0),0,D8/B8)*100</f>
        <v>40.355138882254302</v>
      </c>
      <c r="F8" s="336">
        <f>SUM(H8-D8)</f>
        <v>1694879952687.04</v>
      </c>
      <c r="G8" s="94">
        <f>IF(OR(F8=0,B8=0),0,F8/B8)*100</f>
        <v>43.502468496995874</v>
      </c>
      <c r="H8" s="453">
        <f>SUM(ejes!P86)</f>
        <v>3267138223138</v>
      </c>
      <c r="I8" s="446">
        <f>IF(OR(H8=0,B8=0),0,H8/B8)*100</f>
        <v>83.857607379250169</v>
      </c>
    </row>
    <row r="9" spans="1:9" ht="30" x14ac:dyDescent="0.2">
      <c r="A9" s="93" t="s">
        <v>334</v>
      </c>
      <c r="B9" s="452">
        <f>SUM(ejes!R86)</f>
        <v>757110073023</v>
      </c>
      <c r="C9" s="94">
        <f>IF(OR(B9=0,B$10=0),0,B9/B$10)*100</f>
        <v>6.690240407429016</v>
      </c>
      <c r="D9" s="336">
        <f>SUM(ejes!T86)</f>
        <v>518592931865</v>
      </c>
      <c r="E9" s="94">
        <f>IF(OR(D9=0,B9=0),0,D9/B9)*100</f>
        <v>68.496371973279224</v>
      </c>
      <c r="F9" s="336">
        <f>SUM(H9-D9)</f>
        <v>197083199957</v>
      </c>
      <c r="G9" s="94">
        <f>IF(OR(F9=0,B9=0),0,F9/B9)*100</f>
        <v>26.03098373398776</v>
      </c>
      <c r="H9" s="453">
        <f>SUM(ejes!X86)</f>
        <v>715676131822</v>
      </c>
      <c r="I9" s="446">
        <f>IF(OR(H9=0,B9=0),0,H9/B9)*100</f>
        <v>94.527355707266977</v>
      </c>
    </row>
    <row r="10" spans="1:9" s="443" customFormat="1" ht="33.75" customHeight="1" thickBot="1" x14ac:dyDescent="0.25">
      <c r="A10" s="441" t="s">
        <v>350</v>
      </c>
      <c r="B10" s="454">
        <f>SUM(B7:B9)</f>
        <v>11316634783143</v>
      </c>
      <c r="C10" s="339">
        <f>IF(OR(B10=0,B$10=0),0,B10/B$10)*100</f>
        <v>100</v>
      </c>
      <c r="D10" s="442">
        <f>SUM(D7:D9)</f>
        <v>6844148065471.96</v>
      </c>
      <c r="E10" s="339">
        <f>IF(OR(D10=0,B10=0),0,D10/B10)*100</f>
        <v>60.478651088633228</v>
      </c>
      <c r="F10" s="442">
        <f>SUM(F7:F9)</f>
        <v>2896002987671.04</v>
      </c>
      <c r="G10" s="339">
        <f>IF(OR(F10=0,B10=0),0,F10/B10)*100</f>
        <v>25.590672873749181</v>
      </c>
      <c r="H10" s="455">
        <f>SUM(H7:H9)</f>
        <v>9740151053143</v>
      </c>
      <c r="I10" s="447">
        <f>IF(OR(H10=0,B10=0),0,H10/B10)*100</f>
        <v>86.069323962382398</v>
      </c>
    </row>
    <row r="11" spans="1:9" ht="15.75" x14ac:dyDescent="0.25">
      <c r="A11" s="335"/>
      <c r="B11" s="334"/>
      <c r="C11" s="24"/>
      <c r="D11" s="24"/>
      <c r="E11" s="24"/>
      <c r="F11" s="24"/>
      <c r="G11" s="24"/>
      <c r="H11" s="24"/>
      <c r="I11" s="24"/>
    </row>
    <row r="12" spans="1:9" x14ac:dyDescent="0.2">
      <c r="A12" s="95" t="s">
        <v>113</v>
      </c>
      <c r="B12" s="95"/>
      <c r="C12" s="95"/>
      <c r="D12" s="95"/>
      <c r="E12" s="95"/>
      <c r="F12" s="95"/>
      <c r="G12" s="95"/>
      <c r="H12" s="95"/>
      <c r="I12" s="95"/>
    </row>
    <row r="13" spans="1:9" x14ac:dyDescent="0.2">
      <c r="B13" s="50"/>
      <c r="C13" s="239"/>
      <c r="D13" s="50"/>
      <c r="E13" s="239"/>
      <c r="F13" s="50"/>
      <c r="G13" s="239"/>
      <c r="H13" s="50"/>
    </row>
    <row r="14" spans="1:9" x14ac:dyDescent="0.2">
      <c r="B14" s="50"/>
      <c r="C14" s="239"/>
      <c r="D14" s="50"/>
      <c r="E14" s="239"/>
      <c r="F14" s="50"/>
      <c r="G14" s="239"/>
      <c r="H14" s="50"/>
    </row>
  </sheetData>
  <mergeCells count="6">
    <mergeCell ref="B1:I1"/>
    <mergeCell ref="B2:I2"/>
    <mergeCell ref="B3:I3"/>
    <mergeCell ref="B4:I4"/>
    <mergeCell ref="A2:A3"/>
    <mergeCell ref="A4:A5"/>
  </mergeCells>
  <phoneticPr fontId="2" type="noConversion"/>
  <printOptions horizontalCentered="1" verticalCentered="1"/>
  <pageMargins left="0" right="0" top="0" bottom="0" header="0" footer="0"/>
  <pageSetup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workbookViewId="0">
      <pane ySplit="6" topLeftCell="A98" activePane="bottomLeft" state="frozen"/>
      <selection pane="bottomLeft" sqref="A1:A4"/>
    </sheetView>
  </sheetViews>
  <sheetFormatPr baseColWidth="10" defaultRowHeight="12.75" x14ac:dyDescent="0.2"/>
  <cols>
    <col min="1" max="1" width="29.5546875" style="96" customWidth="1"/>
    <col min="2" max="2" width="13.44140625" style="49" bestFit="1" customWidth="1"/>
    <col min="3" max="3" width="14.6640625" style="49" customWidth="1"/>
    <col min="4" max="6" width="13.44140625" style="49" bestFit="1" customWidth="1"/>
    <col min="7" max="7" width="13.109375" style="49" bestFit="1" customWidth="1"/>
    <col min="8" max="8" width="13.44140625" style="49" bestFit="1" customWidth="1"/>
    <col min="9" max="16384" width="11.5546875" style="49"/>
  </cols>
  <sheetData>
    <row r="1" spans="1:8" x14ac:dyDescent="0.2">
      <c r="A1" s="556" t="s">
        <v>391</v>
      </c>
      <c r="B1" s="565" t="s">
        <v>114</v>
      </c>
      <c r="C1" s="565"/>
      <c r="D1" s="565"/>
      <c r="E1" s="565"/>
      <c r="F1" s="565"/>
      <c r="G1" s="565"/>
      <c r="H1" s="565"/>
    </row>
    <row r="2" spans="1:8" x14ac:dyDescent="0.2">
      <c r="A2" s="556"/>
      <c r="B2" s="565" t="s">
        <v>115</v>
      </c>
      <c r="C2" s="565"/>
      <c r="D2" s="565"/>
      <c r="E2" s="565"/>
      <c r="F2" s="565"/>
      <c r="G2" s="565"/>
      <c r="H2" s="565"/>
    </row>
    <row r="3" spans="1:8" x14ac:dyDescent="0.2">
      <c r="A3" s="556" t="s">
        <v>392</v>
      </c>
      <c r="B3" s="565" t="s">
        <v>396</v>
      </c>
      <c r="C3" s="565"/>
      <c r="D3" s="565"/>
      <c r="E3" s="565"/>
      <c r="F3" s="565"/>
      <c r="G3" s="565"/>
      <c r="H3" s="565"/>
    </row>
    <row r="4" spans="1:8" ht="13.5" thickBot="1" x14ac:dyDescent="0.25">
      <c r="A4" s="557"/>
      <c r="B4" s="566" t="s">
        <v>116</v>
      </c>
      <c r="C4" s="566"/>
      <c r="D4" s="566"/>
      <c r="E4" s="566"/>
      <c r="F4" s="566"/>
      <c r="G4" s="566"/>
      <c r="H4" s="566"/>
    </row>
    <row r="5" spans="1:8" x14ac:dyDescent="0.2">
      <c r="A5" s="97" t="s">
        <v>117</v>
      </c>
      <c r="B5" s="559" t="s">
        <v>8</v>
      </c>
      <c r="C5" s="560"/>
      <c r="D5" s="561"/>
      <c r="E5" s="562" t="s">
        <v>9</v>
      </c>
      <c r="F5" s="563"/>
      <c r="G5" s="563"/>
      <c r="H5" s="564"/>
    </row>
    <row r="6" spans="1:8" ht="13.5" thickBot="1" x14ac:dyDescent="0.25">
      <c r="A6" s="98"/>
      <c r="B6" s="99" t="s">
        <v>17</v>
      </c>
      <c r="C6" s="100" t="s">
        <v>118</v>
      </c>
      <c r="D6" s="101" t="s">
        <v>11</v>
      </c>
      <c r="E6" s="102" t="s">
        <v>119</v>
      </c>
      <c r="F6" s="99" t="s">
        <v>13</v>
      </c>
      <c r="G6" s="100" t="s">
        <v>120</v>
      </c>
      <c r="H6" s="101" t="s">
        <v>121</v>
      </c>
    </row>
    <row r="7" spans="1:8" x14ac:dyDescent="0.2">
      <c r="A7" s="103"/>
      <c r="B7" s="104"/>
      <c r="C7" s="104"/>
      <c r="D7" s="104"/>
      <c r="E7" s="104"/>
      <c r="F7" s="104"/>
      <c r="G7" s="104"/>
      <c r="H7" s="104"/>
    </row>
    <row r="8" spans="1:8" ht="15" customHeight="1" thickBot="1" x14ac:dyDescent="0.3">
      <c r="A8" s="553" t="s">
        <v>122</v>
      </c>
      <c r="B8" s="553"/>
      <c r="C8" s="553"/>
      <c r="D8" s="553"/>
      <c r="E8" s="553"/>
      <c r="F8" s="553"/>
      <c r="G8" s="553"/>
      <c r="H8" s="553"/>
    </row>
    <row r="9" spans="1:8" x14ac:dyDescent="0.2">
      <c r="A9" s="105" t="s">
        <v>123</v>
      </c>
      <c r="B9" s="106">
        <f>SUM(B10:B12)</f>
        <v>2630000000</v>
      </c>
      <c r="C9" s="107">
        <f>SUM(C10:C12)</f>
        <v>0</v>
      </c>
      <c r="D9" s="108">
        <f>SUM(B9:C9)</f>
        <v>2630000000</v>
      </c>
      <c r="E9" s="106">
        <f>SUM(E10:E12)</f>
        <v>2630000000</v>
      </c>
      <c r="F9" s="109"/>
      <c r="G9" s="107"/>
      <c r="H9" s="108"/>
    </row>
    <row r="10" spans="1:8" x14ac:dyDescent="0.2">
      <c r="A10" s="110" t="s">
        <v>124</v>
      </c>
      <c r="B10" s="111">
        <f>SUM('[16]2EP_235 01'!$E$15)</f>
        <v>2630000000</v>
      </c>
      <c r="C10" s="11"/>
      <c r="D10" s="112">
        <f>SUM(B10:C10)</f>
        <v>2630000000</v>
      </c>
      <c r="E10" s="111">
        <f>SUM('[16]2EP_235 01'!$J$15)</f>
        <v>2630000000</v>
      </c>
      <c r="F10" s="64"/>
      <c r="G10" s="11"/>
      <c r="H10" s="112"/>
    </row>
    <row r="11" spans="1:8" x14ac:dyDescent="0.2">
      <c r="A11" s="110" t="s">
        <v>125</v>
      </c>
      <c r="B11" s="111"/>
      <c r="C11" s="11"/>
      <c r="D11" s="112">
        <f t="shared" ref="D11:D16" si="0">SUM(B11:C11)</f>
        <v>0</v>
      </c>
      <c r="E11" s="111"/>
      <c r="F11" s="64"/>
      <c r="G11" s="11"/>
      <c r="H11" s="112"/>
    </row>
    <row r="12" spans="1:8" x14ac:dyDescent="0.2">
      <c r="A12" s="110" t="s">
        <v>126</v>
      </c>
      <c r="B12" s="111"/>
      <c r="C12" s="11"/>
      <c r="D12" s="112">
        <f t="shared" si="0"/>
        <v>0</v>
      </c>
      <c r="E12" s="111"/>
      <c r="F12" s="64"/>
      <c r="G12" s="11"/>
      <c r="H12" s="112"/>
    </row>
    <row r="13" spans="1:8" x14ac:dyDescent="0.2">
      <c r="A13" s="113" t="s">
        <v>127</v>
      </c>
      <c r="B13" s="114">
        <f>SUM(B14:B16)</f>
        <v>103195695000</v>
      </c>
      <c r="C13" s="115">
        <f>SUM(C14:C16)</f>
        <v>0</v>
      </c>
      <c r="D13" s="116">
        <f t="shared" si="0"/>
        <v>103195695000</v>
      </c>
      <c r="E13" s="116">
        <f>SUM(E14:E16)</f>
        <v>0</v>
      </c>
      <c r="F13" s="496">
        <f>SUM(F14:F16)</f>
        <v>94886092596</v>
      </c>
      <c r="G13" s="497">
        <f>SUM(G14:G16)</f>
        <v>6397074324</v>
      </c>
      <c r="H13" s="498">
        <f>SUM(F13:G13)</f>
        <v>101283166920</v>
      </c>
    </row>
    <row r="14" spans="1:8" x14ac:dyDescent="0.2">
      <c r="A14" s="110" t="s">
        <v>128</v>
      </c>
      <c r="B14" s="111">
        <f>SUM([12]aud!$D$8+[12]con!$D$8)</f>
        <v>95031785000</v>
      </c>
      <c r="C14" s="11">
        <f>SUM([12]aud!$E$8+[12]con!$E$8)</f>
        <v>0</v>
      </c>
      <c r="D14" s="112">
        <f t="shared" si="0"/>
        <v>95031785000</v>
      </c>
      <c r="E14" s="111"/>
      <c r="F14" s="111">
        <f>SUM([12]aud!$M$8+[12]con!$M$8)</f>
        <v>92138994580</v>
      </c>
      <c r="G14" s="162">
        <f t="shared" ref="G14:G16" si="1">SUM(H14-F14)</f>
        <v>2015673377</v>
      </c>
      <c r="H14" s="112">
        <f>SUM([12]aud!$J$8+[12]con!$J$8)</f>
        <v>94154667957</v>
      </c>
    </row>
    <row r="15" spans="1:8" x14ac:dyDescent="0.2">
      <c r="A15" s="110" t="s">
        <v>129</v>
      </c>
      <c r="B15" s="111"/>
      <c r="C15" s="11"/>
      <c r="D15" s="112">
        <f t="shared" si="0"/>
        <v>0</v>
      </c>
      <c r="E15" s="111"/>
      <c r="F15" s="111"/>
      <c r="G15" s="162">
        <f t="shared" si="1"/>
        <v>0</v>
      </c>
      <c r="H15" s="112"/>
    </row>
    <row r="16" spans="1:8" ht="13.5" thickBot="1" x14ac:dyDescent="0.25">
      <c r="A16" s="118" t="s">
        <v>130</v>
      </c>
      <c r="B16" s="111">
        <f>SUM([12]con!$D$81)</f>
        <v>8163910000</v>
      </c>
      <c r="C16" s="119">
        <f>SUM([12]con!$E$81)</f>
        <v>0</v>
      </c>
      <c r="D16" s="120">
        <f t="shared" si="0"/>
        <v>8163910000</v>
      </c>
      <c r="E16" s="111"/>
      <c r="F16" s="439">
        <f>SUM([12]con!$M$81)</f>
        <v>2747098016</v>
      </c>
      <c r="G16" s="495">
        <f t="shared" si="1"/>
        <v>4381400947</v>
      </c>
      <c r="H16" s="120">
        <f>SUM([12]con!$J$81)</f>
        <v>7128498963</v>
      </c>
    </row>
    <row r="17" spans="1:8" x14ac:dyDescent="0.2">
      <c r="A17" s="552" t="s">
        <v>44</v>
      </c>
      <c r="B17" s="552"/>
      <c r="C17" s="552"/>
      <c r="D17" s="552"/>
      <c r="E17" s="552"/>
      <c r="F17" s="552"/>
      <c r="G17" s="552"/>
      <c r="H17" s="552"/>
    </row>
    <row r="18" spans="1:8" ht="10.5" customHeight="1" thickBot="1" x14ac:dyDescent="0.25">
      <c r="A18" s="553"/>
      <c r="B18" s="553"/>
      <c r="C18" s="553"/>
      <c r="D18" s="553"/>
      <c r="E18" s="553"/>
      <c r="F18" s="553"/>
      <c r="G18" s="553"/>
      <c r="H18" s="553"/>
    </row>
    <row r="19" spans="1:8" x14ac:dyDescent="0.2">
      <c r="A19" s="121" t="s">
        <v>123</v>
      </c>
      <c r="B19" s="106">
        <f>SUM(B20+B23+B27+B38)</f>
        <v>12259035845000</v>
      </c>
      <c r="C19" s="107">
        <f>SUM(C20+C23+C27+C38)</f>
        <v>-500498344945</v>
      </c>
      <c r="D19" s="108">
        <f>SUM(B19:C19)</f>
        <v>11758537500055</v>
      </c>
      <c r="E19" s="106">
        <f>SUM(E20+E23+E27+E38)</f>
        <v>11242516300088.021</v>
      </c>
      <c r="F19" s="109"/>
      <c r="G19" s="107"/>
      <c r="H19" s="108"/>
    </row>
    <row r="20" spans="1:8" x14ac:dyDescent="0.2">
      <c r="A20" s="122" t="s">
        <v>132</v>
      </c>
      <c r="B20" s="111">
        <f>SUM(B21:B22)</f>
        <v>6516914941000</v>
      </c>
      <c r="C20" s="11">
        <f>SUM(C21:C22)</f>
        <v>-49863000000</v>
      </c>
      <c r="D20" s="112">
        <f>SUM(B20:C20)</f>
        <v>6467051941000</v>
      </c>
      <c r="E20" s="111">
        <f>SUM(E21:E22)</f>
        <v>6767027057321.4004</v>
      </c>
      <c r="F20" s="64"/>
      <c r="G20" s="11"/>
      <c r="H20" s="112"/>
    </row>
    <row r="21" spans="1:8" x14ac:dyDescent="0.2">
      <c r="A21" s="122" t="s">
        <v>133</v>
      </c>
      <c r="B21" s="111">
        <f>SUM([11]ing!$C$9)</f>
        <v>5993370239000</v>
      </c>
      <c r="C21" s="11">
        <f>SUM([11]ing!$E$9)</f>
        <v>-48201000000</v>
      </c>
      <c r="D21" s="112">
        <f t="shared" ref="D21:D63" si="2">SUM(B21:C21)</f>
        <v>5945169239000</v>
      </c>
      <c r="E21" s="111">
        <f>SUM([11]ing!$H$9)</f>
        <v>6082409643292</v>
      </c>
      <c r="F21" s="64"/>
      <c r="G21" s="11"/>
      <c r="H21" s="112"/>
    </row>
    <row r="22" spans="1:8" x14ac:dyDescent="0.2">
      <c r="A22" s="122" t="s">
        <v>134</v>
      </c>
      <c r="B22" s="111">
        <f>SUM([11]ing!$C$25)</f>
        <v>523544702000</v>
      </c>
      <c r="C22" s="11">
        <f>SUM([11]ing!$E$25)</f>
        <v>-1662000000</v>
      </c>
      <c r="D22" s="112">
        <f t="shared" si="2"/>
        <v>521882702000</v>
      </c>
      <c r="E22" s="111">
        <f>SUM([11]ing!$H$25)</f>
        <v>684617414029.40002</v>
      </c>
      <c r="F22" s="64"/>
      <c r="G22" s="11"/>
      <c r="H22" s="112"/>
    </row>
    <row r="23" spans="1:8" x14ac:dyDescent="0.2">
      <c r="A23" s="122" t="s">
        <v>135</v>
      </c>
      <c r="B23" s="111">
        <f>SUM(B24:B26)</f>
        <v>2167799689000</v>
      </c>
      <c r="C23" s="11">
        <f>SUM(C24:C26)</f>
        <v>-62532228266</v>
      </c>
      <c r="D23" s="112">
        <f t="shared" si="2"/>
        <v>2105267460734</v>
      </c>
      <c r="E23" s="111">
        <f>SUM(E24:E26)</f>
        <v>2162310826692.54</v>
      </c>
      <c r="F23" s="64"/>
      <c r="G23" s="11"/>
      <c r="H23" s="112"/>
    </row>
    <row r="24" spans="1:8" x14ac:dyDescent="0.2">
      <c r="A24" s="122" t="s">
        <v>136</v>
      </c>
      <c r="B24" s="111">
        <f>SUM([11]ing!$C$51)</f>
        <v>2101649662000</v>
      </c>
      <c r="C24" s="11">
        <f>SUM([11]ing!$E$51)</f>
        <v>-8936983508</v>
      </c>
      <c r="D24" s="112">
        <f t="shared" si="2"/>
        <v>2092712678492</v>
      </c>
      <c r="E24" s="111">
        <f>SUM([11]ing!$H$51)</f>
        <v>2151875876367.76</v>
      </c>
      <c r="F24" s="64"/>
      <c r="G24" s="11"/>
      <c r="H24" s="112"/>
    </row>
    <row r="25" spans="1:8" x14ac:dyDescent="0.2">
      <c r="A25" s="122" t="s">
        <v>137</v>
      </c>
      <c r="B25" s="111"/>
      <c r="C25" s="11"/>
      <c r="D25" s="112">
        <f t="shared" si="2"/>
        <v>0</v>
      </c>
      <c r="E25" s="111"/>
      <c r="F25" s="64"/>
      <c r="G25" s="11"/>
      <c r="H25" s="112"/>
    </row>
    <row r="26" spans="1:8" x14ac:dyDescent="0.2">
      <c r="A26" s="122" t="s">
        <v>138</v>
      </c>
      <c r="B26" s="111">
        <f>SUM([11]ing!$C$74)</f>
        <v>66150027000</v>
      </c>
      <c r="C26" s="11">
        <f>SUM([11]ing!$E$74)</f>
        <v>-53595244758</v>
      </c>
      <c r="D26" s="112">
        <f t="shared" si="2"/>
        <v>12554782242</v>
      </c>
      <c r="E26" s="111">
        <f>SUM([11]ing!$H$74)</f>
        <v>10434950324.780001</v>
      </c>
      <c r="F26" s="64"/>
      <c r="G26" s="11"/>
      <c r="H26" s="112"/>
    </row>
    <row r="27" spans="1:8" x14ac:dyDescent="0.2">
      <c r="A27" s="122" t="s">
        <v>139</v>
      </c>
      <c r="B27" s="111">
        <f>SUM(B28:B38)</f>
        <v>3574321215000</v>
      </c>
      <c r="C27" s="11">
        <f>SUM(C28:C38)</f>
        <v>-388103116679</v>
      </c>
      <c r="D27" s="112">
        <f t="shared" si="2"/>
        <v>3186218098321</v>
      </c>
      <c r="E27" s="111">
        <f>SUM(E28:E38)</f>
        <v>2313178416074.0801</v>
      </c>
      <c r="F27" s="64"/>
      <c r="G27" s="11"/>
      <c r="H27" s="112"/>
    </row>
    <row r="28" spans="1:8" x14ac:dyDescent="0.2">
      <c r="A28" s="122" t="s">
        <v>140</v>
      </c>
      <c r="B28" s="111">
        <f>SUM([11]ing!$C$78)</f>
        <v>1166137481000</v>
      </c>
      <c r="C28" s="11">
        <f>SUM([11]ing!$E$78)</f>
        <v>-18552692198</v>
      </c>
      <c r="D28" s="112">
        <f t="shared" si="2"/>
        <v>1147584788802</v>
      </c>
      <c r="E28" s="111">
        <f>SUM([11]ing!$H$78)</f>
        <v>1085834613482.7</v>
      </c>
      <c r="F28" s="64"/>
      <c r="G28" s="11"/>
      <c r="H28" s="112"/>
    </row>
    <row r="29" spans="1:8" x14ac:dyDescent="0.2">
      <c r="A29" s="122" t="s">
        <v>397</v>
      </c>
      <c r="B29" s="111">
        <f>SUM([11]ing!$C$84)</f>
        <v>0</v>
      </c>
      <c r="C29" s="11">
        <f>SUM([11]ing!$E$84)</f>
        <v>302751962305</v>
      </c>
      <c r="D29" s="112"/>
      <c r="E29" s="111">
        <f>SUM([11]ing!$H$84)</f>
        <v>302751962305</v>
      </c>
      <c r="F29" s="64"/>
      <c r="G29" s="11"/>
      <c r="H29" s="112"/>
    </row>
    <row r="30" spans="1:8" x14ac:dyDescent="0.2">
      <c r="A30" s="122" t="s">
        <v>141</v>
      </c>
      <c r="B30" s="111">
        <f>SUM([11]ing!$C$85)</f>
        <v>1834755815000</v>
      </c>
      <c r="C30" s="11">
        <f>SUM([11]ing!$E$85)</f>
        <v>-709718884546</v>
      </c>
      <c r="D30" s="112">
        <f t="shared" si="2"/>
        <v>1125036930454</v>
      </c>
      <c r="E30" s="111">
        <f>SUM([11]ing!$H$85)</f>
        <v>61147527069</v>
      </c>
      <c r="F30" s="64"/>
      <c r="G30" s="11"/>
      <c r="H30" s="112"/>
    </row>
    <row r="31" spans="1:8" x14ac:dyDescent="0.2">
      <c r="A31" s="122" t="s">
        <v>142</v>
      </c>
      <c r="B31" s="111">
        <f>SUM([11]ing!$C$88)</f>
        <v>144726197000</v>
      </c>
      <c r="C31" s="11">
        <f>SUM([11]ing!$E$88)</f>
        <v>0</v>
      </c>
      <c r="D31" s="112">
        <f t="shared" si="2"/>
        <v>144726197000</v>
      </c>
      <c r="E31" s="111">
        <f>SUM([11]ing!$H$88)</f>
        <v>222596299350.88</v>
      </c>
      <c r="F31" s="64"/>
      <c r="G31" s="11"/>
      <c r="H31" s="112"/>
    </row>
    <row r="32" spans="1:8" x14ac:dyDescent="0.2">
      <c r="A32" s="122" t="s">
        <v>143</v>
      </c>
      <c r="B32" s="111">
        <f>SUM([11]ing!$C$91)</f>
        <v>0</v>
      </c>
      <c r="C32" s="11">
        <f>SUM([11]ing!$E$91)</f>
        <v>0</v>
      </c>
      <c r="D32" s="112">
        <f t="shared" si="2"/>
        <v>0</v>
      </c>
      <c r="E32" s="111">
        <f>SUM([11]ing!$H$91)</f>
        <v>4823089.41</v>
      </c>
      <c r="F32" s="64"/>
      <c r="G32" s="11"/>
      <c r="H32" s="112"/>
    </row>
    <row r="33" spans="1:10" ht="25.5" x14ac:dyDescent="0.2">
      <c r="A33" s="122" t="s">
        <v>144</v>
      </c>
      <c r="B33" s="111">
        <f>SUM([11]ing!$C$92)</f>
        <v>386570000000</v>
      </c>
      <c r="C33" s="11">
        <f>SUM([11]ing!$E$92)</f>
        <v>0</v>
      </c>
      <c r="D33" s="112">
        <f t="shared" si="2"/>
        <v>386570000000</v>
      </c>
      <c r="E33" s="111">
        <f>SUM([11]ing!$H$92)</f>
        <v>586106745794.35999</v>
      </c>
      <c r="F33" s="64"/>
      <c r="G33" s="11"/>
      <c r="H33" s="112"/>
    </row>
    <row r="34" spans="1:10" x14ac:dyDescent="0.2">
      <c r="A34" s="122" t="s">
        <v>145</v>
      </c>
      <c r="B34" s="111">
        <f>SUM([11]ing!$C$93)</f>
        <v>0</v>
      </c>
      <c r="C34" s="11">
        <f>SUM([11]ing!$E$93)</f>
        <v>0</v>
      </c>
      <c r="D34" s="112">
        <f t="shared" si="2"/>
        <v>0</v>
      </c>
      <c r="E34" s="111">
        <f>SUM([11]ing!$H$93)</f>
        <v>878458718</v>
      </c>
      <c r="F34" s="64"/>
      <c r="G34" s="11"/>
      <c r="H34" s="112"/>
    </row>
    <row r="35" spans="1:10" x14ac:dyDescent="0.2">
      <c r="A35" s="122" t="s">
        <v>146</v>
      </c>
      <c r="B35" s="111">
        <f>SUM([11]ing!$C$94)</f>
        <v>42131722000</v>
      </c>
      <c r="C35" s="11">
        <f>SUM([11]ing!$E$94)</f>
        <v>37416497760</v>
      </c>
      <c r="D35" s="112">
        <f t="shared" si="2"/>
        <v>79548219760</v>
      </c>
      <c r="E35" s="111">
        <f>SUM([11]ing!$H$94)</f>
        <v>53857986264.730003</v>
      </c>
      <c r="F35" s="64"/>
      <c r="G35" s="11"/>
      <c r="H35" s="112"/>
    </row>
    <row r="36" spans="1:10" hidden="1" x14ac:dyDescent="0.2">
      <c r="A36" s="122" t="s">
        <v>147</v>
      </c>
      <c r="B36" s="111"/>
      <c r="C36" s="11"/>
      <c r="D36" s="112">
        <f t="shared" si="2"/>
        <v>0</v>
      </c>
      <c r="E36" s="111"/>
      <c r="F36" s="111"/>
      <c r="G36" s="11"/>
      <c r="H36" s="112"/>
    </row>
    <row r="37" spans="1:10" hidden="1" x14ac:dyDescent="0.2">
      <c r="A37" s="122" t="s">
        <v>148</v>
      </c>
      <c r="B37" s="111"/>
      <c r="C37" s="11"/>
      <c r="D37" s="112">
        <f t="shared" si="2"/>
        <v>0</v>
      </c>
      <c r="E37" s="111"/>
      <c r="F37" s="111"/>
      <c r="G37" s="11"/>
      <c r="H37" s="112"/>
    </row>
    <row r="38" spans="1:10" hidden="1" x14ac:dyDescent="0.2">
      <c r="A38" s="122" t="s">
        <v>149</v>
      </c>
      <c r="B38" s="111"/>
      <c r="C38" s="11"/>
      <c r="D38" s="112">
        <f t="shared" si="2"/>
        <v>0</v>
      </c>
      <c r="E38" s="111"/>
      <c r="F38" s="111"/>
      <c r="G38" s="11"/>
      <c r="H38" s="112"/>
    </row>
    <row r="39" spans="1:10" x14ac:dyDescent="0.2">
      <c r="A39" s="123" t="s">
        <v>127</v>
      </c>
      <c r="B39" s="114">
        <f>SUM(B40+B52+B60)</f>
        <v>7962763965000</v>
      </c>
      <c r="C39" s="115">
        <f>SUM(C40+C52+C60)</f>
        <v>-371134626276</v>
      </c>
      <c r="D39" s="116">
        <f t="shared" si="2"/>
        <v>7591629338724</v>
      </c>
      <c r="E39" s="124"/>
      <c r="F39" s="114">
        <f>SUM(F40+F52+F60)</f>
        <v>6028386073376.7305</v>
      </c>
      <c r="G39" s="115">
        <f>SUM(G40+G52+G60)</f>
        <v>712046219787.43005</v>
      </c>
      <c r="H39" s="116">
        <f t="shared" ref="H39:H40" si="3">SUM(F39:G39)</f>
        <v>6740432293164.1602</v>
      </c>
    </row>
    <row r="40" spans="1:10" x14ac:dyDescent="0.2">
      <c r="A40" s="122" t="s">
        <v>150</v>
      </c>
      <c r="B40" s="111">
        <f>SUM(B41,B42,B43,B48,B49,B50,B51)</f>
        <v>925712411000</v>
      </c>
      <c r="C40" s="11">
        <f>SUM(C41,C42,C43,C48,C49,C50,C51)</f>
        <v>-2279003572</v>
      </c>
      <c r="D40" s="112">
        <f t="shared" si="2"/>
        <v>923433407428</v>
      </c>
      <c r="E40" s="125"/>
      <c r="F40" s="111">
        <f>SUM(F41,F42,F43,F48,F49,F50,F51)</f>
        <v>744401713662.77002</v>
      </c>
      <c r="G40" s="11">
        <f>SUM(G41,G42,G43,G48,G49,G50,G51)</f>
        <v>45777466148.389999</v>
      </c>
      <c r="H40" s="112">
        <f t="shared" si="3"/>
        <v>790179179811.16003</v>
      </c>
      <c r="J40" s="48"/>
    </row>
    <row r="41" spans="1:10" x14ac:dyDescent="0.2">
      <c r="A41" s="122" t="s">
        <v>151</v>
      </c>
      <c r="B41" s="111">
        <f>SUM([11]ctas!$C$9)</f>
        <v>695606516000</v>
      </c>
      <c r="C41" s="11">
        <f>SUM([11]ctas!$D$9)</f>
        <v>-4095220040</v>
      </c>
      <c r="D41" s="112">
        <f t="shared" si="2"/>
        <v>691511295960</v>
      </c>
      <c r="E41" s="125"/>
      <c r="F41" s="111">
        <f>SUM([11]ctas!$G$9)</f>
        <v>617577569136</v>
      </c>
      <c r="G41" s="162">
        <f t="shared" ref="G41:G42" si="4">SUM(H41-F41)</f>
        <v>4572829974</v>
      </c>
      <c r="H41" s="112">
        <f>SUM([11]ctas!$K$9)</f>
        <v>622150399110</v>
      </c>
    </row>
    <row r="42" spans="1:10" x14ac:dyDescent="0.2">
      <c r="A42" s="122" t="s">
        <v>152</v>
      </c>
      <c r="B42" s="111">
        <f>SUM([11]ctas!$C$54)</f>
        <v>147386500000</v>
      </c>
      <c r="C42" s="11">
        <f>SUM([11]ctas!$D$54)</f>
        <v>4052990935</v>
      </c>
      <c r="D42" s="112">
        <f t="shared" si="2"/>
        <v>151439490935</v>
      </c>
      <c r="E42" s="125"/>
      <c r="F42" s="111">
        <f>SUM([11]ctas!$G$54)</f>
        <v>100442964529.77</v>
      </c>
      <c r="G42" s="162">
        <f t="shared" si="4"/>
        <v>41204636173.389999</v>
      </c>
      <c r="H42" s="112">
        <f>SUM([11]ctas!$K$54)</f>
        <v>141647600703.16</v>
      </c>
    </row>
    <row r="43" spans="1:10" x14ac:dyDescent="0.2">
      <c r="A43" s="122" t="s">
        <v>153</v>
      </c>
      <c r="B43" s="111">
        <f>SUM(B44:B47)</f>
        <v>82719395000</v>
      </c>
      <c r="C43" s="11">
        <f>SUM(C44:C47)</f>
        <v>-2784454568</v>
      </c>
      <c r="D43" s="112">
        <f t="shared" si="2"/>
        <v>79934940432</v>
      </c>
      <c r="E43" s="125"/>
      <c r="F43" s="111">
        <f>SUM(F44:F47)</f>
        <v>25833500966</v>
      </c>
      <c r="G43" s="162">
        <f>SUM(G44:G47)</f>
        <v>0</v>
      </c>
      <c r="H43" s="112">
        <f>SUM(H44:H47)</f>
        <v>25833500966</v>
      </c>
    </row>
    <row r="44" spans="1:10" hidden="1" x14ac:dyDescent="0.2">
      <c r="A44" s="122" t="s">
        <v>154</v>
      </c>
      <c r="B44" s="111"/>
      <c r="C44" s="11"/>
      <c r="D44" s="112">
        <f t="shared" si="2"/>
        <v>0</v>
      </c>
      <c r="E44" s="125"/>
      <c r="F44" s="111"/>
      <c r="G44" s="162"/>
      <c r="H44" s="112"/>
    </row>
    <row r="45" spans="1:10" x14ac:dyDescent="0.2">
      <c r="A45" s="122" t="s">
        <v>155</v>
      </c>
      <c r="B45" s="111">
        <f>SUM([11]ctas!$C$97)</f>
        <v>82719395000</v>
      </c>
      <c r="C45" s="11">
        <f>SUM([11]ctas!$D$97)</f>
        <v>-2784454568</v>
      </c>
      <c r="D45" s="112">
        <f t="shared" si="2"/>
        <v>79934940432</v>
      </c>
      <c r="E45" s="125"/>
      <c r="F45" s="111">
        <f>SUM([11]ctas!$G$97)</f>
        <v>25833500966</v>
      </c>
      <c r="G45" s="162">
        <f t="shared" ref="G45:G50" si="5">SUM(H45-F45)</f>
        <v>0</v>
      </c>
      <c r="H45" s="112">
        <f>SUM([11]ctas!$K$97)</f>
        <v>25833500966</v>
      </c>
    </row>
    <row r="46" spans="1:10" hidden="1" x14ac:dyDescent="0.2">
      <c r="A46" s="122" t="s">
        <v>156</v>
      </c>
      <c r="B46" s="111"/>
      <c r="C46" s="11"/>
      <c r="D46" s="112">
        <f t="shared" si="2"/>
        <v>0</v>
      </c>
      <c r="E46" s="125"/>
      <c r="F46" s="111"/>
      <c r="G46" s="162">
        <f t="shared" si="5"/>
        <v>0</v>
      </c>
      <c r="H46" s="112"/>
    </row>
    <row r="47" spans="1:10" hidden="1" x14ac:dyDescent="0.2">
      <c r="A47" s="122" t="s">
        <v>157</v>
      </c>
      <c r="B47" s="111"/>
      <c r="C47" s="11"/>
      <c r="D47" s="112">
        <f t="shared" si="2"/>
        <v>0</v>
      </c>
      <c r="E47" s="125"/>
      <c r="F47" s="111"/>
      <c r="G47" s="162">
        <f t="shared" si="5"/>
        <v>0</v>
      </c>
      <c r="H47" s="112"/>
    </row>
    <row r="48" spans="1:10" hidden="1" x14ac:dyDescent="0.2">
      <c r="A48" s="122" t="s">
        <v>158</v>
      </c>
      <c r="B48" s="111"/>
      <c r="C48" s="11"/>
      <c r="D48" s="112"/>
      <c r="E48" s="125"/>
      <c r="F48" s="111"/>
      <c r="G48" s="162">
        <f t="shared" si="5"/>
        <v>0</v>
      </c>
      <c r="H48" s="112"/>
    </row>
    <row r="49" spans="1:8" hidden="1" x14ac:dyDescent="0.2">
      <c r="A49" s="122" t="s">
        <v>159</v>
      </c>
      <c r="B49" s="111"/>
      <c r="C49" s="11"/>
      <c r="D49" s="112">
        <f t="shared" si="2"/>
        <v>0</v>
      </c>
      <c r="E49" s="125"/>
      <c r="F49" s="111"/>
      <c r="G49" s="162">
        <f t="shared" si="5"/>
        <v>0</v>
      </c>
      <c r="H49" s="112"/>
    </row>
    <row r="50" spans="1:8" x14ac:dyDescent="0.2">
      <c r="A50" s="122" t="s">
        <v>160</v>
      </c>
      <c r="B50" s="111">
        <f>SUM([11]ctas!$C$124)</f>
        <v>0</v>
      </c>
      <c r="C50" s="11">
        <f>SUM([11]ctas!$D$124)</f>
        <v>547680101</v>
      </c>
      <c r="D50" s="112">
        <f>SUM(B50:C50)</f>
        <v>547680101</v>
      </c>
      <c r="E50" s="125"/>
      <c r="F50" s="111">
        <f>SUM([11]ctas!$G$124)</f>
        <v>547679031</v>
      </c>
      <c r="G50" s="162">
        <f t="shared" si="5"/>
        <v>1</v>
      </c>
      <c r="H50" s="112">
        <f>SUM([11]ctas!$K$124)</f>
        <v>547679032</v>
      </c>
    </row>
    <row r="51" spans="1:8" hidden="1" x14ac:dyDescent="0.2">
      <c r="A51" s="122" t="s">
        <v>327</v>
      </c>
      <c r="B51" s="111"/>
      <c r="C51" s="11"/>
      <c r="D51" s="112">
        <f t="shared" si="2"/>
        <v>0</v>
      </c>
      <c r="E51" s="125"/>
      <c r="F51" s="111"/>
      <c r="G51" s="162"/>
      <c r="H51" s="112"/>
    </row>
    <row r="52" spans="1:8" x14ac:dyDescent="0.2">
      <c r="A52" s="122" t="s">
        <v>161</v>
      </c>
      <c r="B52" s="111">
        <f>SUM(B53:B59)</f>
        <v>307879230000</v>
      </c>
      <c r="C52" s="11">
        <f>SUM(C53:C59)</f>
        <v>0</v>
      </c>
      <c r="D52" s="112">
        <f t="shared" si="2"/>
        <v>307879230000</v>
      </c>
      <c r="E52" s="125"/>
      <c r="F52" s="111">
        <f>SUM(F53:F59)</f>
        <v>184131574198</v>
      </c>
      <c r="G52" s="162">
        <f>SUM(G53:G59)</f>
        <v>94630810</v>
      </c>
      <c r="H52" s="112">
        <f>SUM(H53:H59)</f>
        <v>184226205008</v>
      </c>
    </row>
    <row r="53" spans="1:8" x14ac:dyDescent="0.2">
      <c r="A53" s="122" t="s">
        <v>162</v>
      </c>
      <c r="B53" s="111">
        <f>SUM([11]ctas!$C$131)</f>
        <v>104387254000</v>
      </c>
      <c r="C53" s="11">
        <f>SUM([11]ctas!$D$131)</f>
        <v>0</v>
      </c>
      <c r="D53" s="112">
        <f t="shared" si="2"/>
        <v>104387254000</v>
      </c>
      <c r="E53" s="125"/>
      <c r="F53" s="111">
        <f>SUM([11]ctas!$G$131)</f>
        <v>25507936534</v>
      </c>
      <c r="G53" s="162">
        <f t="shared" ref="G53:G57" si="6">SUM(H53-F53)</f>
        <v>94630810</v>
      </c>
      <c r="H53" s="112">
        <f>SUM([11]ctas!$K$131)</f>
        <v>25602567344</v>
      </c>
    </row>
    <row r="54" spans="1:8" x14ac:dyDescent="0.2">
      <c r="A54" s="122" t="s">
        <v>163</v>
      </c>
      <c r="B54" s="111">
        <f>SUM([11]ctas!$C$134)</f>
        <v>201571376000</v>
      </c>
      <c r="C54" s="11">
        <f>SUM([11]ctas!$D$134)</f>
        <v>0</v>
      </c>
      <c r="D54" s="112">
        <f t="shared" si="2"/>
        <v>201571376000</v>
      </c>
      <c r="E54" s="125"/>
      <c r="F54" s="111">
        <f>SUM([11]ctas!$G$134)</f>
        <v>157712359789</v>
      </c>
      <c r="G54" s="162">
        <f t="shared" si="6"/>
        <v>0</v>
      </c>
      <c r="H54" s="112">
        <f>SUM([11]ctas!$K$134)</f>
        <v>157712359789</v>
      </c>
    </row>
    <row r="55" spans="1:8" hidden="1" x14ac:dyDescent="0.2">
      <c r="A55" s="122" t="s">
        <v>164</v>
      </c>
      <c r="B55" s="111"/>
      <c r="C55" s="11"/>
      <c r="D55" s="112">
        <f t="shared" si="2"/>
        <v>0</v>
      </c>
      <c r="E55" s="125"/>
      <c r="F55" s="111"/>
      <c r="G55" s="162">
        <f t="shared" si="6"/>
        <v>0</v>
      </c>
      <c r="H55" s="112"/>
    </row>
    <row r="56" spans="1:8" ht="25.5" hidden="1" x14ac:dyDescent="0.2">
      <c r="A56" s="122" t="s">
        <v>165</v>
      </c>
      <c r="B56" s="111"/>
      <c r="C56" s="11"/>
      <c r="D56" s="112">
        <f t="shared" si="2"/>
        <v>0</v>
      </c>
      <c r="E56" s="125"/>
      <c r="F56" s="111"/>
      <c r="G56" s="162">
        <f t="shared" si="6"/>
        <v>0</v>
      </c>
      <c r="H56" s="112"/>
    </row>
    <row r="57" spans="1:8" x14ac:dyDescent="0.2">
      <c r="A57" s="122" t="s">
        <v>166</v>
      </c>
      <c r="B57" s="111">
        <f>SUM([11]ctas!$C$138)</f>
        <v>1920600000</v>
      </c>
      <c r="C57" s="11">
        <f>SUM([11]ctas!$D$138)</f>
        <v>0</v>
      </c>
      <c r="D57" s="112">
        <f t="shared" si="2"/>
        <v>1920600000</v>
      </c>
      <c r="E57" s="125"/>
      <c r="F57" s="111">
        <f>SUM([11]ctas!$G$138)</f>
        <v>911277875</v>
      </c>
      <c r="G57" s="162">
        <f t="shared" si="6"/>
        <v>0</v>
      </c>
      <c r="H57" s="112">
        <f>SUM([11]ctas!$K$138)</f>
        <v>911277875</v>
      </c>
    </row>
    <row r="58" spans="1:8" hidden="1" x14ac:dyDescent="0.2">
      <c r="A58" s="122" t="s">
        <v>167</v>
      </c>
      <c r="B58" s="111"/>
      <c r="C58" s="11"/>
      <c r="D58" s="112"/>
      <c r="E58" s="125"/>
      <c r="F58" s="111"/>
      <c r="G58" s="162"/>
      <c r="H58" s="112"/>
    </row>
    <row r="59" spans="1:8" hidden="1" x14ac:dyDescent="0.2">
      <c r="A59" s="122" t="s">
        <v>168</v>
      </c>
      <c r="B59" s="111"/>
      <c r="C59" s="11"/>
      <c r="D59" s="112">
        <f t="shared" si="2"/>
        <v>0</v>
      </c>
      <c r="E59" s="125"/>
      <c r="F59" s="111"/>
      <c r="G59" s="162"/>
      <c r="H59" s="112"/>
    </row>
    <row r="60" spans="1:8" x14ac:dyDescent="0.2">
      <c r="A60" s="122" t="s">
        <v>169</v>
      </c>
      <c r="B60" s="111">
        <f>SUM(B61:B65)</f>
        <v>6729172324000</v>
      </c>
      <c r="C60" s="11">
        <f>SUM(C61:C65)</f>
        <v>-368855622704</v>
      </c>
      <c r="D60" s="112">
        <f t="shared" si="2"/>
        <v>6360316701296</v>
      </c>
      <c r="E60" s="125"/>
      <c r="F60" s="111">
        <f>SUM(F61:F65)</f>
        <v>5099852785515.96</v>
      </c>
      <c r="G60" s="162">
        <f>SUM(G61:G65)</f>
        <v>666174122829.04004</v>
      </c>
      <c r="H60" s="112">
        <f>SUM(H61:H65)</f>
        <v>5766026908345</v>
      </c>
    </row>
    <row r="61" spans="1:8" x14ac:dyDescent="0.2">
      <c r="A61" s="122" t="s">
        <v>170</v>
      </c>
      <c r="B61" s="111">
        <f>SUM([11]ctas!$C$142)</f>
        <v>4481501842000</v>
      </c>
      <c r="C61" s="11">
        <f>SUM([11]ctas!$D$142)</f>
        <v>-36757854551</v>
      </c>
      <c r="D61" s="112">
        <f t="shared" si="2"/>
        <v>4444743987449</v>
      </c>
      <c r="E61" s="125"/>
      <c r="F61" s="111">
        <f>SUM([11]ctas!$G$142)</f>
        <v>3381485870181.96</v>
      </c>
      <c r="G61" s="162">
        <f t="shared" ref="G61:G64" si="7">SUM(H61-F61)</f>
        <v>666033658676.04004</v>
      </c>
      <c r="H61" s="112">
        <f>SUM([11]ctas!$K$142)</f>
        <v>4047519528858</v>
      </c>
    </row>
    <row r="62" spans="1:8" x14ac:dyDescent="0.2">
      <c r="A62" s="122" t="s">
        <v>171</v>
      </c>
      <c r="B62" s="111">
        <f>SUM([11]ctas!$C$562)</f>
        <v>2226412995000</v>
      </c>
      <c r="C62" s="11">
        <f>SUM([11]ctas!$D$562)</f>
        <v>-351465307805</v>
      </c>
      <c r="D62" s="112">
        <f t="shared" si="2"/>
        <v>1874947687195</v>
      </c>
      <c r="E62" s="125"/>
      <c r="F62" s="111">
        <f>SUM([11]ctas!$G$562)</f>
        <v>1684147887021</v>
      </c>
      <c r="G62" s="162">
        <f t="shared" si="7"/>
        <v>0</v>
      </c>
      <c r="H62" s="112">
        <f>SUM([11]ctas!$K$562)</f>
        <v>1684147887021</v>
      </c>
    </row>
    <row r="63" spans="1:8" hidden="1" x14ac:dyDescent="0.2">
      <c r="A63" s="126" t="s">
        <v>159</v>
      </c>
      <c r="B63" s="111"/>
      <c r="C63" s="11"/>
      <c r="D63" s="127">
        <f t="shared" si="2"/>
        <v>0</v>
      </c>
      <c r="E63" s="128"/>
      <c r="F63" s="111"/>
      <c r="G63" s="162">
        <f t="shared" si="7"/>
        <v>0</v>
      </c>
      <c r="H63" s="112"/>
    </row>
    <row r="64" spans="1:8" ht="13.5" thickBot="1" x14ac:dyDescent="0.25">
      <c r="A64" s="122" t="s">
        <v>172</v>
      </c>
      <c r="B64" s="111">
        <f>SUM([11]ctas!$C$605)</f>
        <v>21257487000</v>
      </c>
      <c r="C64" s="11">
        <f>SUM([11]ctas!$D$605)</f>
        <v>19367539652</v>
      </c>
      <c r="D64" s="112">
        <f>SUM(B64:C64)</f>
        <v>40625026652</v>
      </c>
      <c r="E64" s="125"/>
      <c r="F64" s="439">
        <f>SUM([11]ctas!$G$605)</f>
        <v>34219028313</v>
      </c>
      <c r="G64" s="495">
        <f t="shared" si="7"/>
        <v>140464153</v>
      </c>
      <c r="H64" s="120">
        <f>SUM([11]ctas!$K$605)</f>
        <v>34359492466</v>
      </c>
    </row>
    <row r="65" spans="1:8" ht="13.5" hidden="1" thickBot="1" x14ac:dyDescent="0.25">
      <c r="A65" s="262" t="s">
        <v>327</v>
      </c>
      <c r="B65" s="263"/>
      <c r="C65" s="264"/>
      <c r="D65" s="265">
        <f>SUM(B65:C65)</f>
        <v>0</v>
      </c>
      <c r="E65" s="266"/>
      <c r="F65" s="263"/>
      <c r="G65" s="264"/>
      <c r="H65" s="265">
        <f>SUM(F65:G65)</f>
        <v>0</v>
      </c>
    </row>
    <row r="66" spans="1:8" ht="25.5" customHeight="1" thickBot="1" x14ac:dyDescent="0.25">
      <c r="A66" s="552" t="s">
        <v>182</v>
      </c>
      <c r="B66" s="552"/>
      <c r="C66" s="552"/>
      <c r="D66" s="552"/>
      <c r="E66" s="552"/>
      <c r="F66" s="552"/>
      <c r="G66" s="552"/>
      <c r="H66" s="552"/>
    </row>
    <row r="67" spans="1:8" ht="13.5" hidden="1" thickBot="1" x14ac:dyDescent="0.25">
      <c r="A67" s="553"/>
      <c r="B67" s="553"/>
      <c r="C67" s="553"/>
      <c r="D67" s="553"/>
      <c r="E67" s="553"/>
      <c r="F67" s="553"/>
      <c r="G67" s="553"/>
      <c r="H67" s="553"/>
    </row>
    <row r="68" spans="1:8" x14ac:dyDescent="0.2">
      <c r="A68" s="121" t="s">
        <v>123</v>
      </c>
      <c r="B68" s="106">
        <f>SUM(B69:B71)</f>
        <v>2371027492000</v>
      </c>
      <c r="C68" s="107">
        <f>SUM(C69:C71)</f>
        <v>-257098997665</v>
      </c>
      <c r="D68" s="108">
        <f>SUM(B68:C68)</f>
        <v>2113928494335</v>
      </c>
      <c r="E68" s="107">
        <f>SUM(E69:E71)</f>
        <v>2296103244304</v>
      </c>
      <c r="F68" s="109"/>
      <c r="G68" s="107"/>
      <c r="H68" s="108"/>
    </row>
    <row r="69" spans="1:8" x14ac:dyDescent="0.2">
      <c r="A69" s="122" t="s">
        <v>124</v>
      </c>
      <c r="B69" s="111">
        <f>SUM([17]Hoja2!$I$5)</f>
        <v>523724622000</v>
      </c>
      <c r="C69" s="11">
        <f>SUM([17]Hoja2!$J$5)</f>
        <v>48767381521</v>
      </c>
      <c r="D69" s="112">
        <f>SUM(B69:C69)</f>
        <v>572492003521</v>
      </c>
      <c r="E69" s="111">
        <f>SUM([17]Hoja2!$L$5)</f>
        <v>711826836560</v>
      </c>
      <c r="F69" s="64"/>
      <c r="G69" s="11"/>
      <c r="H69" s="112"/>
    </row>
    <row r="70" spans="1:8" x14ac:dyDescent="0.2">
      <c r="A70" s="122" t="s">
        <v>125</v>
      </c>
      <c r="B70" s="111">
        <f>SUM([17]Hoja2!$I$57)</f>
        <v>638570000000</v>
      </c>
      <c r="C70" s="11">
        <f>SUM([17]Hoja2!$J$57)</f>
        <v>-190000550000</v>
      </c>
      <c r="D70" s="112">
        <f t="shared" ref="D70:D75" si="8">SUM(B70:C70)</f>
        <v>448569450000</v>
      </c>
      <c r="E70" s="111">
        <f>SUM([17]Hoja2!$L$57)</f>
        <v>441173271331</v>
      </c>
      <c r="F70" s="64"/>
      <c r="G70" s="11"/>
      <c r="H70" s="112"/>
    </row>
    <row r="71" spans="1:8" x14ac:dyDescent="0.2">
      <c r="A71" s="122" t="s">
        <v>126</v>
      </c>
      <c r="B71" s="111">
        <f>SUM([17]Hoja2!$I$62)</f>
        <v>1208732870000</v>
      </c>
      <c r="C71" s="11">
        <f>SUM([17]Hoja2!$J$62)</f>
        <v>-115865829186</v>
      </c>
      <c r="D71" s="112">
        <f t="shared" si="8"/>
        <v>1092867040814</v>
      </c>
      <c r="E71" s="111">
        <f>SUM([17]Hoja2!$L$62)</f>
        <v>1143103136413</v>
      </c>
      <c r="F71" s="64"/>
      <c r="G71" s="11"/>
      <c r="H71" s="112"/>
    </row>
    <row r="72" spans="1:8" x14ac:dyDescent="0.2">
      <c r="A72" s="123" t="s">
        <v>127</v>
      </c>
      <c r="B72" s="114">
        <f>SUM(B73:B75)</f>
        <v>6404776997000</v>
      </c>
      <c r="C72" s="115">
        <f>SUM(C73:C75)</f>
        <v>-386462716334</v>
      </c>
      <c r="D72" s="116">
        <f t="shared" si="8"/>
        <v>6018314280666</v>
      </c>
      <c r="E72" s="116">
        <f>SUM(E73:E75)</f>
        <v>0</v>
      </c>
      <c r="F72" s="117">
        <f>SUM(F73:F75)</f>
        <v>3371826975131</v>
      </c>
      <c r="G72" s="115">
        <f>SUM(G73:G75)</f>
        <v>1516286311967</v>
      </c>
      <c r="H72" s="116">
        <f>SUM(F72:G72)</f>
        <v>4888113287098</v>
      </c>
    </row>
    <row r="73" spans="1:8" x14ac:dyDescent="0.2">
      <c r="A73" s="122" t="s">
        <v>128</v>
      </c>
      <c r="B73" s="111">
        <f>SUM([12]Hoja2!$I$5)</f>
        <v>818240907000</v>
      </c>
      <c r="C73" s="11">
        <f>SUM([12]Hoja2!$J$5)</f>
        <v>305110245426</v>
      </c>
      <c r="D73" s="112">
        <f t="shared" si="8"/>
        <v>1123351152426</v>
      </c>
      <c r="E73" s="112"/>
      <c r="F73" s="111">
        <f>SUM([12]Hoja2!$L$5)</f>
        <v>967616288962</v>
      </c>
      <c r="G73" s="162">
        <f>SUM(H73-F73)</f>
        <v>39555469751</v>
      </c>
      <c r="H73" s="112">
        <f>SUM([12]Hoja2!$M$5)</f>
        <v>1007171758713</v>
      </c>
    </row>
    <row r="74" spans="1:8" x14ac:dyDescent="0.2">
      <c r="A74" s="122" t="s">
        <v>129</v>
      </c>
      <c r="B74" s="111">
        <f>SUM([12]Hoja2!$I$93)</f>
        <v>178340000000</v>
      </c>
      <c r="C74" s="11">
        <f>SUM([12]Hoja2!$J$93)</f>
        <v>0</v>
      </c>
      <c r="D74" s="112">
        <f t="shared" si="8"/>
        <v>178340000000</v>
      </c>
      <c r="E74" s="112"/>
      <c r="F74" s="111">
        <f>SUM([12]Hoja2!$L$93)</f>
        <v>120735505121</v>
      </c>
      <c r="G74" s="162">
        <f t="shared" ref="G74:G75" si="9">SUM(H74-F74)</f>
        <v>0</v>
      </c>
      <c r="H74" s="112">
        <f>SUM([12]Hoja2!$M$93)</f>
        <v>120735505121</v>
      </c>
    </row>
    <row r="75" spans="1:8" ht="13.5" thickBot="1" x14ac:dyDescent="0.25">
      <c r="A75" s="129" t="s">
        <v>130</v>
      </c>
      <c r="B75" s="111">
        <f>SUM([12]Hoja2!$I$96)</f>
        <v>5408196090000</v>
      </c>
      <c r="C75" s="119">
        <f>SUM([12]Hoja2!$J$96)</f>
        <v>-691572961760</v>
      </c>
      <c r="D75" s="120">
        <f t="shared" si="8"/>
        <v>4716623128240</v>
      </c>
      <c r="E75" s="120"/>
      <c r="F75" s="439">
        <f>SUM([12]Hoja2!$L$96)</f>
        <v>2283475181048</v>
      </c>
      <c r="G75" s="495">
        <f t="shared" si="9"/>
        <v>1476730842216</v>
      </c>
      <c r="H75" s="120">
        <f>SUM([12]Hoja2!$M$96)</f>
        <v>3760206023264</v>
      </c>
    </row>
    <row r="76" spans="1:8" x14ac:dyDescent="0.2">
      <c r="A76" s="552" t="s">
        <v>67</v>
      </c>
      <c r="B76" s="552"/>
      <c r="C76" s="552"/>
      <c r="D76" s="552"/>
      <c r="E76" s="552"/>
      <c r="F76" s="552"/>
      <c r="G76" s="552"/>
      <c r="H76" s="552"/>
    </row>
    <row r="77" spans="1:8" ht="9" customHeight="1" thickBot="1" x14ac:dyDescent="0.25">
      <c r="A77" s="553"/>
      <c r="B77" s="553"/>
      <c r="C77" s="553"/>
      <c r="D77" s="553"/>
      <c r="E77" s="553"/>
      <c r="F77" s="553"/>
      <c r="G77" s="553"/>
      <c r="H77" s="553"/>
    </row>
    <row r="78" spans="1:8" x14ac:dyDescent="0.2">
      <c r="A78" s="121" t="s">
        <v>123</v>
      </c>
      <c r="B78" s="106">
        <f>SUM(B79:B81)</f>
        <v>97635596000</v>
      </c>
      <c r="C78" s="107">
        <f>SUM(C79:C81)</f>
        <v>-19429003702</v>
      </c>
      <c r="D78" s="108">
        <f>SUM(B78:C78)</f>
        <v>78206592298</v>
      </c>
      <c r="E78" s="107">
        <f>SUM(E79:E81)</f>
        <v>87635104548</v>
      </c>
      <c r="F78" s="109"/>
      <c r="G78" s="107"/>
      <c r="H78" s="108"/>
    </row>
    <row r="79" spans="1:8" x14ac:dyDescent="0.2">
      <c r="A79" s="122" t="s">
        <v>124</v>
      </c>
      <c r="B79" s="111">
        <f>SUM('[16]2EP_230 01'!$E$78)</f>
        <v>52820062000</v>
      </c>
      <c r="C79" s="11">
        <f>SUM('[16]2EP_230 01'!$G$78)</f>
        <v>950323847</v>
      </c>
      <c r="D79" s="112">
        <f>SUM(B79:C79)</f>
        <v>53770385847</v>
      </c>
      <c r="E79" s="111">
        <f>SUM('[16]2EP_230 01'!$J$78)</f>
        <v>64598927504</v>
      </c>
      <c r="F79" s="64"/>
      <c r="G79" s="11"/>
      <c r="H79" s="112"/>
    </row>
    <row r="80" spans="1:8" x14ac:dyDescent="0.2">
      <c r="A80" s="122" t="s">
        <v>125</v>
      </c>
      <c r="B80" s="111">
        <f>SUM('[16]2EP_230 01'!$E$86)</f>
        <v>15726893000</v>
      </c>
      <c r="C80" s="11">
        <f>SUM('[16]2EP_230 01'!$G$86)</f>
        <v>2377017697</v>
      </c>
      <c r="D80" s="112">
        <f t="shared" ref="D80:D85" si="10">SUM(B80:C80)</f>
        <v>18103910697</v>
      </c>
      <c r="E80" s="111">
        <f>SUM('[16]2EP_230 01'!$J$86)</f>
        <v>19132407604</v>
      </c>
      <c r="F80" s="64"/>
      <c r="G80" s="11"/>
      <c r="H80" s="112"/>
    </row>
    <row r="81" spans="1:9" x14ac:dyDescent="0.2">
      <c r="A81" s="122" t="s">
        <v>126</v>
      </c>
      <c r="B81" s="111">
        <f>SUM('[16]2EP_230 01'!$E$90)</f>
        <v>29088641000</v>
      </c>
      <c r="C81" s="11">
        <f>SUM('[16]2EP_230 01'!$G$90)</f>
        <v>-22756345246</v>
      </c>
      <c r="D81" s="112">
        <f t="shared" si="10"/>
        <v>6332295754</v>
      </c>
      <c r="E81" s="111">
        <f>SUM('[16]2EP_230 01'!$J$90)</f>
        <v>3903769440</v>
      </c>
      <c r="F81" s="64"/>
      <c r="G81" s="11"/>
      <c r="H81" s="112"/>
    </row>
    <row r="82" spans="1:9" x14ac:dyDescent="0.2">
      <c r="A82" s="123" t="s">
        <v>127</v>
      </c>
      <c r="B82" s="114">
        <f>SUM(B83:B85)</f>
        <v>259592276000</v>
      </c>
      <c r="C82" s="115">
        <f>SUM(C83:C85)</f>
        <v>-19429003702</v>
      </c>
      <c r="D82" s="116">
        <f t="shared" si="10"/>
        <v>240163272298</v>
      </c>
      <c r="E82" s="116">
        <f>SUM(E83:E85)</f>
        <v>0</v>
      </c>
      <c r="F82" s="117">
        <f>SUM(F83:F85)</f>
        <v>190888127882</v>
      </c>
      <c r="G82" s="115">
        <f>SUM(G83:G85)</f>
        <v>20080048683</v>
      </c>
      <c r="H82" s="116">
        <f>SUM(F82:G82)</f>
        <v>210968176565</v>
      </c>
    </row>
    <row r="83" spans="1:9" x14ac:dyDescent="0.2">
      <c r="A83" s="122" t="s">
        <v>128</v>
      </c>
      <c r="B83" s="111">
        <f>SUM([12]uni!$D$8)</f>
        <v>211325320000</v>
      </c>
      <c r="C83" s="11">
        <f>SUM([12]uni!$E$8)</f>
        <v>3637246298</v>
      </c>
      <c r="D83" s="112">
        <f t="shared" si="10"/>
        <v>214962566298</v>
      </c>
      <c r="E83" s="112"/>
      <c r="F83" s="111">
        <f>SUM([12]uni!$M$8)</f>
        <v>186383726397</v>
      </c>
      <c r="G83" s="11">
        <f t="shared" ref="G83:G85" si="11">SUM(H83-F83)</f>
        <v>15702989863</v>
      </c>
      <c r="H83" s="111">
        <f>SUM([12]uni!$J$8)</f>
        <v>202086716260</v>
      </c>
    </row>
    <row r="84" spans="1:9" x14ac:dyDescent="0.2">
      <c r="A84" s="122" t="s">
        <v>129</v>
      </c>
      <c r="B84" s="111"/>
      <c r="C84" s="11"/>
      <c r="D84" s="112">
        <f t="shared" si="10"/>
        <v>0</v>
      </c>
      <c r="E84" s="112"/>
      <c r="F84" s="111"/>
      <c r="G84" s="11">
        <f t="shared" si="11"/>
        <v>0</v>
      </c>
      <c r="H84" s="111"/>
    </row>
    <row r="85" spans="1:9" ht="13.5" thickBot="1" x14ac:dyDescent="0.25">
      <c r="A85" s="129" t="s">
        <v>130</v>
      </c>
      <c r="B85" s="439">
        <f>SUM([12]uni!$D$79)</f>
        <v>48266956000</v>
      </c>
      <c r="C85" s="119">
        <f>SUM([12]uni!$E$79)</f>
        <v>-23066250000</v>
      </c>
      <c r="D85" s="120">
        <f t="shared" si="10"/>
        <v>25200706000</v>
      </c>
      <c r="E85" s="120"/>
      <c r="F85" s="439">
        <f>SUM([12]uni!$M$79)</f>
        <v>4504401485</v>
      </c>
      <c r="G85" s="11">
        <f t="shared" si="11"/>
        <v>4377058820</v>
      </c>
      <c r="H85" s="439">
        <f>SUM([12]uni!$J$79)</f>
        <v>8881460305</v>
      </c>
    </row>
    <row r="86" spans="1:9" x14ac:dyDescent="0.2">
      <c r="A86" s="554"/>
      <c r="B86" s="554"/>
      <c r="C86" s="554"/>
      <c r="D86" s="554"/>
      <c r="E86" s="554"/>
      <c r="F86" s="554"/>
      <c r="G86" s="554"/>
      <c r="H86" s="554"/>
    </row>
    <row r="87" spans="1:9" ht="20.25" customHeight="1" thickBot="1" x14ac:dyDescent="0.3">
      <c r="A87" s="555" t="s">
        <v>69</v>
      </c>
      <c r="B87" s="555"/>
      <c r="C87" s="555"/>
      <c r="D87" s="555"/>
      <c r="E87" s="555"/>
      <c r="F87" s="555"/>
      <c r="G87" s="555"/>
      <c r="H87" s="555"/>
    </row>
    <row r="88" spans="1:9" x14ac:dyDescent="0.2">
      <c r="A88" s="130" t="s">
        <v>174</v>
      </c>
      <c r="B88" s="131">
        <f>SUM(B9+B19+B68+B78)</f>
        <v>14730328933000</v>
      </c>
      <c r="C88" s="132">
        <f>SUM(C9+C19+C68+C78)</f>
        <v>-777026346312</v>
      </c>
      <c r="D88" s="133">
        <f t="shared" ref="D88:D95" si="12">SUM(B88:C88)</f>
        <v>13953302586688</v>
      </c>
      <c r="E88" s="134">
        <f>SUM(E9+E19+E68+E78)</f>
        <v>13628884648940.021</v>
      </c>
      <c r="F88" s="135"/>
      <c r="G88" s="132"/>
      <c r="H88" s="133"/>
    </row>
    <row r="89" spans="1:9" x14ac:dyDescent="0.2">
      <c r="A89" s="123" t="s">
        <v>124</v>
      </c>
      <c r="B89" s="136">
        <f>SUM(B10+B20+B69+B79)</f>
        <v>7096089625000</v>
      </c>
      <c r="C89" s="137">
        <f>SUM(C10+C20+C69+C79)</f>
        <v>-145294632</v>
      </c>
      <c r="D89" s="116">
        <f t="shared" si="12"/>
        <v>7095944330368</v>
      </c>
      <c r="E89" s="138">
        <f>SUM(E10+E20+E69+E79)</f>
        <v>7546082821385.4004</v>
      </c>
      <c r="F89" s="139"/>
      <c r="G89" s="137"/>
      <c r="H89" s="140"/>
    </row>
    <row r="90" spans="1:9" x14ac:dyDescent="0.2">
      <c r="A90" s="123" t="s">
        <v>125</v>
      </c>
      <c r="B90" s="136">
        <f>SUM(B11+B23+B70+B80)</f>
        <v>2822096582000</v>
      </c>
      <c r="C90" s="137">
        <f>SUM(C11+C23+C70+C80)</f>
        <v>-250155760569</v>
      </c>
      <c r="D90" s="116">
        <f t="shared" si="12"/>
        <v>2571940821431</v>
      </c>
      <c r="E90" s="138">
        <f>SUM(E11+E23+E70+E80)</f>
        <v>2622616505627.54</v>
      </c>
      <c r="F90" s="139"/>
      <c r="G90" s="137"/>
      <c r="H90" s="140"/>
      <c r="I90" s="48"/>
    </row>
    <row r="91" spans="1:9" x14ac:dyDescent="0.2">
      <c r="A91" s="123" t="s">
        <v>126</v>
      </c>
      <c r="B91" s="136">
        <f>SUM(B12+B27+B71+B81)</f>
        <v>4812142726000</v>
      </c>
      <c r="C91" s="137">
        <f>SUM(C12+C27+C71+C81)</f>
        <v>-526725291111</v>
      </c>
      <c r="D91" s="116">
        <f t="shared" si="12"/>
        <v>4285417434889</v>
      </c>
      <c r="E91" s="138">
        <f>SUM(E12+E27+E71+E81)</f>
        <v>3460185321927.0801</v>
      </c>
      <c r="F91" s="139"/>
      <c r="G91" s="139"/>
      <c r="H91" s="139"/>
      <c r="I91" s="48"/>
    </row>
    <row r="92" spans="1:9" x14ac:dyDescent="0.2">
      <c r="A92" s="141" t="s">
        <v>175</v>
      </c>
      <c r="B92" s="142">
        <f>SUM(B13+B39+B72+B82)</f>
        <v>14730328933000</v>
      </c>
      <c r="C92" s="143">
        <f>SUM(C13+C39+C72+C82)</f>
        <v>-777026346312</v>
      </c>
      <c r="D92" s="144">
        <f t="shared" si="12"/>
        <v>13953302586688</v>
      </c>
      <c r="E92" s="145"/>
      <c r="F92" s="146">
        <f>SUM(F13+F39+F72+F82)</f>
        <v>9685987268985.7305</v>
      </c>
      <c r="G92" s="143">
        <f>SUM(G13+G39+G72+G82)</f>
        <v>2254809654761.4302</v>
      </c>
      <c r="H92" s="144">
        <f>SUM(H93:H95)</f>
        <v>11940796923747.16</v>
      </c>
      <c r="I92" s="48"/>
    </row>
    <row r="93" spans="1:9" x14ac:dyDescent="0.2">
      <c r="A93" s="123" t="s">
        <v>128</v>
      </c>
      <c r="B93" s="136">
        <f>SUM(B14+B40+B73+B83)</f>
        <v>2050310423000</v>
      </c>
      <c r="C93" s="137">
        <f>SUM(C14+C40+C73+C83)</f>
        <v>306468488152</v>
      </c>
      <c r="D93" s="116">
        <f t="shared" si="12"/>
        <v>2356778911152</v>
      </c>
      <c r="E93" s="138"/>
      <c r="F93" s="147">
        <f>SUM(F14+F40+F73+F83)</f>
        <v>1990540723601.77</v>
      </c>
      <c r="G93" s="137">
        <f>SUM(G14+G40+G73+G83)</f>
        <v>103051599139.39</v>
      </c>
      <c r="H93" s="116">
        <f>SUM(F93:G93)</f>
        <v>2093592322741.1599</v>
      </c>
      <c r="I93" s="48"/>
    </row>
    <row r="94" spans="1:9" x14ac:dyDescent="0.2">
      <c r="A94" s="123" t="s">
        <v>129</v>
      </c>
      <c r="B94" s="136">
        <f>SUM(B15+B52+B74+B84)</f>
        <v>486219230000</v>
      </c>
      <c r="C94" s="137">
        <f>SUM(C15+C52+C74+C84)</f>
        <v>0</v>
      </c>
      <c r="D94" s="116">
        <f t="shared" si="12"/>
        <v>486219230000</v>
      </c>
      <c r="E94" s="138"/>
      <c r="F94" s="147">
        <f>SUM(F15+F52+F74+F84)</f>
        <v>304867079319</v>
      </c>
      <c r="G94" s="137">
        <f>SUM(G15+G52+G74+G84)</f>
        <v>94630810</v>
      </c>
      <c r="H94" s="116">
        <f>SUM(F94:G94)</f>
        <v>304961710129</v>
      </c>
    </row>
    <row r="95" spans="1:9" ht="13.5" thickBot="1" x14ac:dyDescent="0.25">
      <c r="A95" s="148" t="s">
        <v>130</v>
      </c>
      <c r="B95" s="149">
        <f>SUM(B16+B60+B75+B85)</f>
        <v>12193799280000</v>
      </c>
      <c r="C95" s="68">
        <f>SUM(C16+C60+C75+C85)</f>
        <v>-1083494834464</v>
      </c>
      <c r="D95" s="150">
        <f t="shared" si="12"/>
        <v>11110304445536</v>
      </c>
      <c r="E95" s="151"/>
      <c r="F95" s="152">
        <f>SUM(F16+F60+F75+F85)</f>
        <v>7390579466064.96</v>
      </c>
      <c r="G95" s="68">
        <f>SUM(G16+G60+G75+G85)</f>
        <v>2151663424812.04</v>
      </c>
      <c r="H95" s="150">
        <f>SUM(F95:G95)</f>
        <v>9542242890877</v>
      </c>
    </row>
    <row r="96" spans="1:9" ht="38.25" customHeight="1" thickBot="1" x14ac:dyDescent="0.3">
      <c r="A96" s="558" t="s">
        <v>390</v>
      </c>
      <c r="B96" s="558"/>
      <c r="C96" s="558"/>
      <c r="D96" s="558"/>
      <c r="E96" s="558"/>
      <c r="F96" s="558"/>
      <c r="G96" s="558"/>
      <c r="H96" s="558"/>
    </row>
    <row r="97" spans="1:10" x14ac:dyDescent="0.2">
      <c r="A97" s="121" t="s">
        <v>123</v>
      </c>
      <c r="B97" s="106">
        <f>SUM(B98:B101)</f>
        <v>4674170076799</v>
      </c>
      <c r="C97" s="107">
        <f>SUM(C98:C101)</f>
        <v>218635341498</v>
      </c>
      <c r="D97" s="108">
        <f>SUM(B97:C97)</f>
        <v>4892805418297</v>
      </c>
      <c r="E97" s="153">
        <f>SUM(E98:E101)</f>
        <v>4301368506036</v>
      </c>
      <c r="F97" s="154"/>
      <c r="G97" s="107"/>
      <c r="H97" s="108"/>
    </row>
    <row r="98" spans="1:10" x14ac:dyDescent="0.2">
      <c r="A98" s="122" t="s">
        <v>176</v>
      </c>
      <c r="B98" s="111">
        <f>SUM([14]ictas!$C$8)</f>
        <v>982884409663</v>
      </c>
      <c r="C98" s="11">
        <f>SUM([14]ictas!$D$8)</f>
        <v>251878319079</v>
      </c>
      <c r="D98" s="112">
        <f>SUM(B98:C98)</f>
        <v>1234762728742</v>
      </c>
      <c r="E98" s="155">
        <f>SUM([14]ictas!$G$8)</f>
        <v>1234762728742</v>
      </c>
      <c r="F98" s="156"/>
      <c r="G98" s="11"/>
      <c r="H98" s="112"/>
    </row>
    <row r="99" spans="1:10" x14ac:dyDescent="0.2">
      <c r="A99" s="122" t="s">
        <v>124</v>
      </c>
      <c r="B99" s="111">
        <f>SUM([14]ictas!$C$13)</f>
        <v>1722870556534</v>
      </c>
      <c r="C99" s="11">
        <f>SUM([14]ictas!$D$13)</f>
        <v>73959342379</v>
      </c>
      <c r="D99" s="112">
        <f t="shared" ref="D99:D107" si="13">SUM(B99:C99)</f>
        <v>1796829898913</v>
      </c>
      <c r="E99" s="155">
        <f>SUM([14]ictas!$G$13)</f>
        <v>1816570666976</v>
      </c>
      <c r="F99" s="156"/>
      <c r="G99" s="11"/>
      <c r="H99" s="112"/>
      <c r="J99" s="48"/>
    </row>
    <row r="100" spans="1:10" x14ac:dyDescent="0.2">
      <c r="A100" s="122" t="s">
        <v>125</v>
      </c>
      <c r="B100" s="111">
        <f>SUM([14]ictas!$C$198)</f>
        <v>1813777589563</v>
      </c>
      <c r="C100" s="11">
        <f>SUM([14]ictas!$D$198)</f>
        <v>-220590396560</v>
      </c>
      <c r="D100" s="112">
        <f t="shared" si="13"/>
        <v>1593187193003</v>
      </c>
      <c r="E100" s="155">
        <f>SUM([14]ictas!$G$198)</f>
        <v>991128671521</v>
      </c>
      <c r="F100" s="156"/>
      <c r="G100" s="11"/>
      <c r="H100" s="112"/>
    </row>
    <row r="101" spans="1:10" x14ac:dyDescent="0.2">
      <c r="A101" s="122" t="s">
        <v>126</v>
      </c>
      <c r="B101" s="111">
        <f>SUM([14]ictas!$C$278)</f>
        <v>154637521039</v>
      </c>
      <c r="C101" s="11">
        <f>SUM([14]ictas!$D$278)</f>
        <v>113388076600</v>
      </c>
      <c r="D101" s="112">
        <f t="shared" si="13"/>
        <v>268025597639</v>
      </c>
      <c r="E101" s="155">
        <f>SUM([14]ictas!$G$278)</f>
        <v>258906438797</v>
      </c>
      <c r="F101" s="156"/>
      <c r="G101" s="11"/>
      <c r="H101" s="112"/>
    </row>
    <row r="102" spans="1:10" x14ac:dyDescent="0.2">
      <c r="A102" s="123" t="s">
        <v>127</v>
      </c>
      <c r="B102" s="114">
        <f>SUM(B103:B107)</f>
        <v>4677283411224</v>
      </c>
      <c r="C102" s="115">
        <f>SUM(C103:C107)</f>
        <v>219212934734</v>
      </c>
      <c r="D102" s="116">
        <f t="shared" si="13"/>
        <v>4896496345958</v>
      </c>
      <c r="E102" s="157"/>
      <c r="F102" s="158">
        <f>SUM(F103:F107)</f>
        <v>3212773865698</v>
      </c>
      <c r="G102" s="115">
        <f>SUM(G103:G107)</f>
        <v>1201295683697</v>
      </c>
      <c r="H102" s="116">
        <f t="shared" ref="H102" si="14">SUM(F102:G102)</f>
        <v>4414069549395</v>
      </c>
    </row>
    <row r="103" spans="1:10" x14ac:dyDescent="0.2">
      <c r="A103" s="122" t="s">
        <v>128</v>
      </c>
      <c r="B103" s="111">
        <f>SUM([14]ctas!$D$9)</f>
        <v>1018363026689</v>
      </c>
      <c r="C103" s="11">
        <f>SUM([14]ctas!$E$9)</f>
        <v>24071346506</v>
      </c>
      <c r="D103" s="112">
        <f t="shared" si="13"/>
        <v>1042434373195</v>
      </c>
      <c r="E103" s="155"/>
      <c r="F103" s="159">
        <f>SUM([14]ctas!$J$9)</f>
        <v>900323733390</v>
      </c>
      <c r="G103" s="11">
        <f t="shared" ref="G103:G107" si="15">SUM(H103-F103)</f>
        <v>108471613980</v>
      </c>
      <c r="H103" s="112">
        <f>SUM([14]ctas!$N$9)</f>
        <v>1008795347370</v>
      </c>
    </row>
    <row r="104" spans="1:10" x14ac:dyDescent="0.2">
      <c r="A104" s="110" t="s">
        <v>177</v>
      </c>
      <c r="B104" s="111">
        <f>SUM([14]ctas!$D$188)</f>
        <v>513323116990</v>
      </c>
      <c r="C104" s="11">
        <f>SUM([14]ctas!$E$188)</f>
        <v>74986032571</v>
      </c>
      <c r="D104" s="112">
        <f t="shared" si="13"/>
        <v>588309149561</v>
      </c>
      <c r="E104" s="155"/>
      <c r="F104" s="159">
        <f>SUM([14]ctas!$J$188)</f>
        <v>471424163295</v>
      </c>
      <c r="G104" s="11">
        <f t="shared" si="15"/>
        <v>83365025444</v>
      </c>
      <c r="H104" s="112">
        <f>SUM([14]ctas!$N$188)</f>
        <v>554789188739</v>
      </c>
    </row>
    <row r="105" spans="1:10" x14ac:dyDescent="0.2">
      <c r="A105" s="122" t="s">
        <v>129</v>
      </c>
      <c r="B105" s="111">
        <f>SUM([14]ctas!$D$306)</f>
        <v>65974121369</v>
      </c>
      <c r="C105" s="11">
        <f>SUM([14]ctas!$E$306)</f>
        <v>5736595838</v>
      </c>
      <c r="D105" s="112">
        <f t="shared" si="13"/>
        <v>71710717207</v>
      </c>
      <c r="E105" s="155"/>
      <c r="F105" s="159">
        <f>SUM([14]ctas!$J$306)</f>
        <v>70828896485</v>
      </c>
      <c r="G105" s="11">
        <f t="shared" si="15"/>
        <v>33694548</v>
      </c>
      <c r="H105" s="112">
        <f>SUM([14]ctas!$N$306)</f>
        <v>70862591033</v>
      </c>
    </row>
    <row r="106" spans="1:10" x14ac:dyDescent="0.2">
      <c r="A106" s="122" t="s">
        <v>130</v>
      </c>
      <c r="B106" s="111">
        <f>SUM([14]ctas!$D$324)</f>
        <v>2936069871623</v>
      </c>
      <c r="C106" s="11">
        <f>SUM([14]ctas!$E$324)</f>
        <v>112935340076</v>
      </c>
      <c r="D106" s="112">
        <f t="shared" si="13"/>
        <v>3049005211699</v>
      </c>
      <c r="E106" s="155"/>
      <c r="F106" s="159">
        <f>SUM([14]ctas!$J$324)</f>
        <v>1770197072528</v>
      </c>
      <c r="G106" s="11">
        <f t="shared" si="15"/>
        <v>1009425349725</v>
      </c>
      <c r="H106" s="112">
        <f>SUM([14]ctas!$N$324)</f>
        <v>2779622422253</v>
      </c>
    </row>
    <row r="107" spans="1:10" ht="13.5" thickBot="1" x14ac:dyDescent="0.25">
      <c r="A107" s="129" t="s">
        <v>178</v>
      </c>
      <c r="B107" s="111">
        <f>SUM([14]ctas!$D$1287)</f>
        <v>143553274553</v>
      </c>
      <c r="C107" s="119">
        <f>SUM([14]ctas!$E$1287)</f>
        <v>1483619743</v>
      </c>
      <c r="D107" s="120">
        <f t="shared" si="13"/>
        <v>145036894296</v>
      </c>
      <c r="E107" s="160"/>
      <c r="F107" s="159"/>
      <c r="G107" s="11">
        <f t="shared" si="15"/>
        <v>0</v>
      </c>
      <c r="H107" s="120"/>
    </row>
    <row r="108" spans="1:10" ht="38.25" customHeight="1" thickBot="1" x14ac:dyDescent="0.3">
      <c r="A108" s="558" t="s">
        <v>100</v>
      </c>
      <c r="B108" s="558"/>
      <c r="C108" s="558"/>
      <c r="D108" s="558"/>
      <c r="E108" s="558"/>
      <c r="F108" s="558"/>
      <c r="G108" s="558"/>
      <c r="H108" s="558"/>
    </row>
    <row r="109" spans="1:10" x14ac:dyDescent="0.2">
      <c r="A109" s="105" t="s">
        <v>123</v>
      </c>
      <c r="B109" s="106">
        <f>SUM(B110:B113)</f>
        <v>1186801000000.3369</v>
      </c>
      <c r="C109" s="161">
        <f>SUM(C110:C113)</f>
        <v>465641744026.35626</v>
      </c>
      <c r="D109" s="108">
        <f>SUM(B109:C109)</f>
        <v>1652442744026.6931</v>
      </c>
      <c r="E109" s="494">
        <f>SUM(E110:E113)</f>
        <v>1578449171856.1626</v>
      </c>
      <c r="F109" s="154"/>
      <c r="G109" s="107"/>
      <c r="H109" s="108"/>
    </row>
    <row r="110" spans="1:10" x14ac:dyDescent="0.2">
      <c r="A110" s="110" t="s">
        <v>176</v>
      </c>
      <c r="B110" s="111">
        <f>SUM('[15] INGRESOS'!$D$8)</f>
        <v>32668000000</v>
      </c>
      <c r="C110" s="11">
        <f>SUM('[15] INGRESOS'!$E$8)</f>
        <v>98934597502.580002</v>
      </c>
      <c r="D110" s="112">
        <f>SUM(B110:C110)</f>
        <v>131602597502.58</v>
      </c>
      <c r="E110" s="155">
        <f>SUM('[15] INGRESOS'!$G$8)</f>
        <v>131602597502.58</v>
      </c>
      <c r="F110" s="156"/>
      <c r="G110" s="11"/>
      <c r="H110" s="112"/>
    </row>
    <row r="111" spans="1:10" x14ac:dyDescent="0.2">
      <c r="A111" s="110" t="s">
        <v>124</v>
      </c>
      <c r="B111" s="111">
        <f>SUM('[15] INGRESOS'!$D$10)</f>
        <v>1152075000000.3369</v>
      </c>
      <c r="C111" s="11">
        <f>SUM('[15] INGRESOS'!$E$10)</f>
        <v>366735525548.77625</v>
      </c>
      <c r="D111" s="112">
        <f t="shared" ref="D111:D119" si="16">SUM(B111:C111)</f>
        <v>1518810525549.1133</v>
      </c>
      <c r="E111" s="155">
        <f>SUM('[15] INGRESOS'!$G$10)</f>
        <v>1443493540326.1765</v>
      </c>
      <c r="F111" s="156"/>
      <c r="G111" s="11"/>
      <c r="H111" s="112"/>
    </row>
    <row r="112" spans="1:10" hidden="1" x14ac:dyDescent="0.2">
      <c r="A112" s="110" t="s">
        <v>125</v>
      </c>
      <c r="B112" s="111"/>
      <c r="C112" s="11"/>
      <c r="D112" s="112">
        <f t="shared" si="16"/>
        <v>0</v>
      </c>
      <c r="E112" s="155"/>
      <c r="F112" s="156"/>
      <c r="G112" s="11"/>
      <c r="H112" s="112"/>
    </row>
    <row r="113" spans="1:8" x14ac:dyDescent="0.2">
      <c r="A113" s="110" t="s">
        <v>126</v>
      </c>
      <c r="B113" s="162">
        <f>SUM('[15] INGRESOS'!$D$57)</f>
        <v>2058000000</v>
      </c>
      <c r="C113" s="11">
        <f>SUM('[15] INGRESOS'!$E$57)</f>
        <v>-28379025</v>
      </c>
      <c r="D113" s="112">
        <f t="shared" si="16"/>
        <v>2029620975</v>
      </c>
      <c r="E113" s="155">
        <f>SUM('[15] INGRESOS'!$G$57)</f>
        <v>3353034027.4060001</v>
      </c>
      <c r="F113" s="156"/>
      <c r="G113" s="11"/>
      <c r="H113" s="112"/>
    </row>
    <row r="114" spans="1:8" x14ac:dyDescent="0.2">
      <c r="A114" s="113" t="s">
        <v>127</v>
      </c>
      <c r="B114" s="114">
        <f>SUM(B115:B119)</f>
        <v>1186801000000</v>
      </c>
      <c r="C114" s="115">
        <f>SUM(C115:C119)</f>
        <v>465641744026.34833</v>
      </c>
      <c r="D114" s="116">
        <f t="shared" si="16"/>
        <v>1652442744026.3484</v>
      </c>
      <c r="E114" s="157"/>
      <c r="F114" s="158">
        <f>SUM(F115:F119)</f>
        <v>1351716202661.6187</v>
      </c>
      <c r="G114" s="115">
        <f>SUM(G115:G119)</f>
        <v>154316201259.95325</v>
      </c>
      <c r="H114" s="116">
        <f t="shared" ref="H114" si="17">SUM(F114:G114)</f>
        <v>1506032403921.5718</v>
      </c>
    </row>
    <row r="115" spans="1:8" x14ac:dyDescent="0.2">
      <c r="A115" s="110" t="s">
        <v>128</v>
      </c>
      <c r="B115" s="162">
        <f>SUM('[15]GASTOS '!$M$10)</f>
        <v>266707000000</v>
      </c>
      <c r="C115" s="162">
        <f>SUM('[15]GASTOS '!$N$10)</f>
        <v>55503153105.5</v>
      </c>
      <c r="D115" s="112">
        <f t="shared" si="16"/>
        <v>322210153105.5</v>
      </c>
      <c r="E115" s="155"/>
      <c r="F115" s="162">
        <f>SUM('[15]GASTOS '!$U$10)</f>
        <v>271220196896.70001</v>
      </c>
      <c r="G115" s="11">
        <f>SUM(H115-F115)</f>
        <v>33296295014.023315</v>
      </c>
      <c r="H115" s="162">
        <f>SUM('[15]GASTOS '!$R$10)</f>
        <v>304516491910.72333</v>
      </c>
    </row>
    <row r="116" spans="1:8" x14ac:dyDescent="0.2">
      <c r="A116" s="110" t="s">
        <v>177</v>
      </c>
      <c r="B116" s="162">
        <f>SUM('[15]GASTOS '!$M$99)</f>
        <v>887426000000</v>
      </c>
      <c r="C116" s="162">
        <f>SUM('[15]GASTOS '!$N$99)</f>
        <v>316450379696</v>
      </c>
      <c r="D116" s="112">
        <f t="shared" si="16"/>
        <v>1203876379696</v>
      </c>
      <c r="E116" s="155"/>
      <c r="F116" s="162">
        <f>SUM('[15]GASTOS '!$U$99)</f>
        <v>1067903444770.9187</v>
      </c>
      <c r="G116" s="11">
        <f t="shared" ref="G116:G118" si="18">SUM(H116-F116)</f>
        <v>102426081509.92993</v>
      </c>
      <c r="H116" s="162">
        <f>SUM('[15]GASTOS '!$R$99)</f>
        <v>1170329526280.8486</v>
      </c>
    </row>
    <row r="117" spans="1:8" hidden="1" x14ac:dyDescent="0.2">
      <c r="A117" s="110" t="s">
        <v>129</v>
      </c>
      <c r="B117" s="162"/>
      <c r="C117" s="162"/>
      <c r="D117" s="112">
        <f t="shared" si="16"/>
        <v>0</v>
      </c>
      <c r="E117" s="155"/>
      <c r="F117" s="162"/>
      <c r="G117" s="11">
        <f t="shared" si="18"/>
        <v>0</v>
      </c>
      <c r="H117" s="162"/>
    </row>
    <row r="118" spans="1:8" x14ac:dyDescent="0.2">
      <c r="A118" s="110" t="s">
        <v>130</v>
      </c>
      <c r="B118" s="162">
        <f>SUM('[15]GASTOS '!$M$171)</f>
        <v>32668000000</v>
      </c>
      <c r="C118" s="162">
        <f>SUM('[15]GASTOS '!$N$171)</f>
        <v>57183101837</v>
      </c>
      <c r="D118" s="112">
        <f t="shared" si="16"/>
        <v>89851101837</v>
      </c>
      <c r="E118" s="155"/>
      <c r="F118" s="162">
        <f>SUM('[15]GASTOS '!$U$171)</f>
        <v>12592560994</v>
      </c>
      <c r="G118" s="11">
        <f t="shared" si="18"/>
        <v>18593824736</v>
      </c>
      <c r="H118" s="162">
        <f>SUM('[15]GASTOS '!$R$171)</f>
        <v>31186385730</v>
      </c>
    </row>
    <row r="119" spans="1:8" ht="13.5" thickBot="1" x14ac:dyDescent="0.25">
      <c r="A119" s="118" t="s">
        <v>178</v>
      </c>
      <c r="B119" s="162">
        <f>SUM('[15]GASTOS '!$M$208)</f>
        <v>0</v>
      </c>
      <c r="C119" s="162">
        <f>SUM('[15]GASTOS '!$N$208)</f>
        <v>36505109387.848328</v>
      </c>
      <c r="D119" s="120">
        <f t="shared" si="16"/>
        <v>36505109387.848328</v>
      </c>
      <c r="E119" s="160"/>
      <c r="F119" s="162">
        <f>SUM('[15]GASTOS '!$U$208)</f>
        <v>0</v>
      </c>
      <c r="G119" s="119">
        <f>SUM(H119-F119)</f>
        <v>0</v>
      </c>
      <c r="H119" s="162">
        <f>SUM('[15]GASTOS '!$R$208)</f>
        <v>0</v>
      </c>
    </row>
    <row r="120" spans="1:8" ht="39.75" customHeight="1" thickBot="1" x14ac:dyDescent="0.3">
      <c r="A120" s="551" t="s">
        <v>101</v>
      </c>
      <c r="B120" s="551"/>
      <c r="C120" s="551"/>
      <c r="D120" s="551"/>
      <c r="E120" s="551"/>
      <c r="F120" s="551"/>
      <c r="G120" s="551"/>
      <c r="H120" s="551"/>
    </row>
    <row r="121" spans="1:8" x14ac:dyDescent="0.2">
      <c r="A121" s="130" t="s">
        <v>174</v>
      </c>
      <c r="B121" s="131">
        <f>SUM(B88+B97+B109)</f>
        <v>20591300009799.336</v>
      </c>
      <c r="C121" s="132">
        <f>SUM(C88+C97+C109)</f>
        <v>-92749260787.643738</v>
      </c>
      <c r="D121" s="133">
        <f t="shared" ref="D121:D131" si="19">SUM(B121:C121)</f>
        <v>20498550749011.691</v>
      </c>
      <c r="E121" s="134">
        <f>SUM(E88+E97+E109)</f>
        <v>19508702326832.187</v>
      </c>
      <c r="F121" s="135"/>
      <c r="G121" s="132"/>
      <c r="H121" s="133"/>
    </row>
    <row r="122" spans="1:8" x14ac:dyDescent="0.2">
      <c r="A122" s="122" t="s">
        <v>176</v>
      </c>
      <c r="B122" s="136">
        <f>SUM(B98+B110)</f>
        <v>1015552409663</v>
      </c>
      <c r="C122" s="137">
        <f>SUM(C98+C110)</f>
        <v>350812916581.58002</v>
      </c>
      <c r="D122" s="116">
        <f t="shared" si="19"/>
        <v>1366365326244.5801</v>
      </c>
      <c r="E122" s="138">
        <f>SUM(E98+E110)</f>
        <v>1366365326244.5801</v>
      </c>
      <c r="F122" s="139"/>
      <c r="G122" s="137"/>
      <c r="H122" s="140"/>
    </row>
    <row r="123" spans="1:8" x14ac:dyDescent="0.2">
      <c r="A123" s="122" t="s">
        <v>124</v>
      </c>
      <c r="B123" s="136">
        <f t="shared" ref="B123:C127" si="20">SUM(B89+B99+B111)</f>
        <v>9971035181534.3359</v>
      </c>
      <c r="C123" s="137">
        <f t="shared" si="20"/>
        <v>440549573295.77625</v>
      </c>
      <c r="D123" s="116">
        <f t="shared" si="19"/>
        <v>10411584754830.111</v>
      </c>
      <c r="E123" s="138">
        <f>SUM(E89+E99+E111)</f>
        <v>10806147028687.576</v>
      </c>
      <c r="F123" s="139"/>
      <c r="G123" s="137"/>
      <c r="H123" s="140"/>
    </row>
    <row r="124" spans="1:8" x14ac:dyDescent="0.2">
      <c r="A124" s="122" t="s">
        <v>125</v>
      </c>
      <c r="B124" s="136">
        <f t="shared" si="20"/>
        <v>4635874171563</v>
      </c>
      <c r="C124" s="137">
        <f t="shared" si="20"/>
        <v>-470746157129</v>
      </c>
      <c r="D124" s="116">
        <f t="shared" si="19"/>
        <v>4165128014434</v>
      </c>
      <c r="E124" s="138">
        <f>SUM(E90+E100+E112)</f>
        <v>3613745177148.54</v>
      </c>
      <c r="F124" s="139"/>
      <c r="G124" s="137"/>
      <c r="H124" s="140"/>
    </row>
    <row r="125" spans="1:8" x14ac:dyDescent="0.2">
      <c r="A125" s="122" t="s">
        <v>126</v>
      </c>
      <c r="B125" s="136">
        <f t="shared" si="20"/>
        <v>4968838247039</v>
      </c>
      <c r="C125" s="137">
        <f t="shared" si="20"/>
        <v>-413365593536</v>
      </c>
      <c r="D125" s="116">
        <f t="shared" si="19"/>
        <v>4555472653503</v>
      </c>
      <c r="E125" s="138">
        <f>SUM(E91+E101+E113)</f>
        <v>3722444794751.4858</v>
      </c>
      <c r="F125" s="139"/>
      <c r="G125" s="139"/>
      <c r="H125" s="139"/>
    </row>
    <row r="126" spans="1:8" x14ac:dyDescent="0.2">
      <c r="A126" s="141" t="s">
        <v>179</v>
      </c>
      <c r="B126" s="142">
        <f t="shared" si="20"/>
        <v>20594413344224</v>
      </c>
      <c r="C126" s="143">
        <f t="shared" si="20"/>
        <v>-92171667551.651672</v>
      </c>
      <c r="D126" s="144">
        <f t="shared" si="19"/>
        <v>20502241676672.348</v>
      </c>
      <c r="E126" s="145"/>
      <c r="F126" s="146">
        <f>SUM(F92+F102+F114)</f>
        <v>14250477337345.35</v>
      </c>
      <c r="G126" s="143">
        <f>SUM(G92+G102+G114)</f>
        <v>3610421539718.3833</v>
      </c>
      <c r="H126" s="144">
        <f t="shared" ref="H126:H131" si="21">SUM(F126:G126)</f>
        <v>17860898877063.734</v>
      </c>
    </row>
    <row r="127" spans="1:8" x14ac:dyDescent="0.2">
      <c r="A127" s="122" t="s">
        <v>128</v>
      </c>
      <c r="B127" s="136">
        <f t="shared" si="20"/>
        <v>3335380449689</v>
      </c>
      <c r="C127" s="137">
        <f t="shared" si="20"/>
        <v>386042987763.5</v>
      </c>
      <c r="D127" s="116">
        <f t="shared" si="19"/>
        <v>3721423437452.5</v>
      </c>
      <c r="E127" s="138"/>
      <c r="F127" s="147">
        <f>SUM(F93+F103+F115)</f>
        <v>3162084653888.4702</v>
      </c>
      <c r="G127" s="137">
        <f>SUM(G93+G103+G115)</f>
        <v>244819508133.41333</v>
      </c>
      <c r="H127" s="116">
        <f t="shared" si="21"/>
        <v>3406904162021.8838</v>
      </c>
    </row>
    <row r="128" spans="1:8" x14ac:dyDescent="0.2">
      <c r="A128" s="110" t="s">
        <v>177</v>
      </c>
      <c r="B128" s="136">
        <f>SUM(B104+B116)</f>
        <v>1400749116990</v>
      </c>
      <c r="C128" s="137">
        <f>SUM(C104+C116)</f>
        <v>391436412267</v>
      </c>
      <c r="D128" s="116">
        <f t="shared" si="19"/>
        <v>1792185529257</v>
      </c>
      <c r="E128" s="138"/>
      <c r="F128" s="136">
        <f>SUM(F104+F116)</f>
        <v>1539327608065.9187</v>
      </c>
      <c r="G128" s="137">
        <f>SUM(G104+G116)</f>
        <v>185791106953.92993</v>
      </c>
      <c r="H128" s="116">
        <f t="shared" si="21"/>
        <v>1725118715019.8486</v>
      </c>
    </row>
    <row r="129" spans="1:8" x14ac:dyDescent="0.2">
      <c r="A129" s="122" t="s">
        <v>129</v>
      </c>
      <c r="B129" s="136">
        <f>SUM(B94+B105+B117)</f>
        <v>552193351369</v>
      </c>
      <c r="C129" s="137">
        <f>SUM(C94+C105+C117)</f>
        <v>5736595838</v>
      </c>
      <c r="D129" s="116">
        <f t="shared" si="19"/>
        <v>557929947207</v>
      </c>
      <c r="E129" s="138"/>
      <c r="F129" s="147">
        <f>SUM(F94+F105+F117)</f>
        <v>375695975804</v>
      </c>
      <c r="G129" s="137">
        <f>SUM(G94+G105+G117)</f>
        <v>128325358</v>
      </c>
      <c r="H129" s="116">
        <f t="shared" si="21"/>
        <v>375824301162</v>
      </c>
    </row>
    <row r="130" spans="1:8" x14ac:dyDescent="0.2">
      <c r="A130" s="122" t="s">
        <v>130</v>
      </c>
      <c r="B130" s="136">
        <f>SUM(B95+B106+B118)</f>
        <v>15162537151623</v>
      </c>
      <c r="C130" s="137">
        <f>SUM(C95+C106+C118)</f>
        <v>-913376392551</v>
      </c>
      <c r="D130" s="116">
        <f t="shared" si="19"/>
        <v>14249160759072</v>
      </c>
      <c r="E130" s="138"/>
      <c r="F130" s="147">
        <f>SUM(F95+F106+F118)</f>
        <v>9173369099586.9609</v>
      </c>
      <c r="G130" s="137">
        <f>SUM(G95+G106+G118)</f>
        <v>3179682599273.04</v>
      </c>
      <c r="H130" s="116">
        <f t="shared" si="21"/>
        <v>12353051698860</v>
      </c>
    </row>
    <row r="131" spans="1:8" ht="13.5" thickBot="1" x14ac:dyDescent="0.25">
      <c r="A131" s="129" t="s">
        <v>178</v>
      </c>
      <c r="B131" s="149">
        <f>SUM(B107+B119)</f>
        <v>143553274553</v>
      </c>
      <c r="C131" s="68">
        <f>SUM(C107+C119)</f>
        <v>37988729130.848328</v>
      </c>
      <c r="D131" s="150">
        <f t="shared" si="19"/>
        <v>181542003683.84833</v>
      </c>
      <c r="E131" s="151"/>
      <c r="F131" s="152">
        <f>SUM(F107+F119)</f>
        <v>0</v>
      </c>
      <c r="G131" s="68">
        <f>SUM(G107+G119)</f>
        <v>0</v>
      </c>
      <c r="H131" s="120">
        <f t="shared" si="21"/>
        <v>0</v>
      </c>
    </row>
    <row r="133" spans="1:8" x14ac:dyDescent="0.2">
      <c r="B133" s="48"/>
      <c r="E133" s="48"/>
    </row>
    <row r="134" spans="1:8" x14ac:dyDescent="0.2">
      <c r="E134" s="48"/>
    </row>
  </sheetData>
  <mergeCells count="17">
    <mergeCell ref="A1:A2"/>
    <mergeCell ref="A3:A4"/>
    <mergeCell ref="A96:H96"/>
    <mergeCell ref="A108:H108"/>
    <mergeCell ref="B5:D5"/>
    <mergeCell ref="E5:H5"/>
    <mergeCell ref="A8:H8"/>
    <mergeCell ref="A17:H18"/>
    <mergeCell ref="B1:H1"/>
    <mergeCell ref="B2:H2"/>
    <mergeCell ref="B3:H3"/>
    <mergeCell ref="B4:H4"/>
    <mergeCell ref="A120:H120"/>
    <mergeCell ref="A66:H67"/>
    <mergeCell ref="A76:H77"/>
    <mergeCell ref="A86:H86"/>
    <mergeCell ref="A87:H87"/>
  </mergeCells>
  <phoneticPr fontId="2" type="noConversion"/>
  <printOptions horizontalCentered="1" verticalCentered="1"/>
  <pageMargins left="0" right="0" top="0.78740157480314965" bottom="0.59055118110236227" header="0" footer="0"/>
  <pageSetup scale="7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workbookViewId="0">
      <pane xSplit="2" ySplit="5" topLeftCell="C59" activePane="bottomRight" state="frozen"/>
      <selection pane="topRight" activeCell="C1" sqref="C1"/>
      <selection pane="bottomLeft" activeCell="A6" sqref="A6"/>
      <selection pane="bottomRight" activeCell="E101" sqref="E101"/>
    </sheetView>
  </sheetViews>
  <sheetFormatPr baseColWidth="10" defaultRowHeight="15" x14ac:dyDescent="0.2"/>
  <cols>
    <col min="1" max="1" width="24.109375" customWidth="1"/>
    <col min="2" max="2" width="15" customWidth="1"/>
    <col min="3" max="3" width="14.109375" bestFit="1" customWidth="1"/>
    <col min="4" max="5" width="12.77734375" customWidth="1"/>
    <col min="6" max="6" width="15" customWidth="1"/>
    <col min="7" max="7" width="15.109375" customWidth="1"/>
    <col min="8" max="8" width="14.109375" customWidth="1"/>
    <col min="9" max="9" width="15" bestFit="1" customWidth="1"/>
    <col min="10" max="10" width="9.88671875" customWidth="1"/>
  </cols>
  <sheetData>
    <row r="1" spans="1:11" x14ac:dyDescent="0.2">
      <c r="A1" s="556" t="s">
        <v>391</v>
      </c>
      <c r="B1" s="569" t="s">
        <v>180</v>
      </c>
      <c r="C1" s="569"/>
      <c r="D1" s="569"/>
      <c r="E1" s="569"/>
      <c r="F1" s="569"/>
      <c r="G1" s="569"/>
      <c r="H1" s="569"/>
      <c r="I1" s="569"/>
    </row>
    <row r="2" spans="1:11" x14ac:dyDescent="0.2">
      <c r="A2" s="556"/>
      <c r="B2" s="567" t="s">
        <v>114</v>
      </c>
      <c r="C2" s="567"/>
      <c r="D2" s="567"/>
      <c r="E2" s="567"/>
      <c r="F2" s="567"/>
      <c r="G2" s="567"/>
      <c r="H2" s="567"/>
      <c r="I2" s="567"/>
    </row>
    <row r="3" spans="1:11" x14ac:dyDescent="0.2">
      <c r="A3" s="556" t="s">
        <v>392</v>
      </c>
      <c r="B3" s="565" t="s">
        <v>399</v>
      </c>
      <c r="C3" s="567"/>
      <c r="D3" s="567"/>
      <c r="E3" s="567"/>
      <c r="F3" s="567"/>
      <c r="G3" s="567"/>
      <c r="H3" s="567"/>
      <c r="I3" s="567"/>
    </row>
    <row r="4" spans="1:11" ht="15.75" thickBot="1" x14ac:dyDescent="0.25">
      <c r="A4" s="557"/>
      <c r="B4" s="568" t="s">
        <v>111</v>
      </c>
      <c r="C4" s="568"/>
      <c r="D4" s="568"/>
      <c r="E4" s="568"/>
      <c r="F4" s="568"/>
      <c r="G4" s="568"/>
      <c r="H4" s="568"/>
      <c r="I4" s="568"/>
    </row>
    <row r="5" spans="1:11" ht="51.75" thickBot="1" x14ac:dyDescent="0.25">
      <c r="A5" s="163" t="s">
        <v>181</v>
      </c>
      <c r="B5" s="164" t="s">
        <v>44</v>
      </c>
      <c r="C5" s="165" t="s">
        <v>182</v>
      </c>
      <c r="D5" s="165" t="s">
        <v>122</v>
      </c>
      <c r="E5" s="166" t="s">
        <v>183</v>
      </c>
      <c r="F5" s="167" t="s">
        <v>184</v>
      </c>
      <c r="G5" s="164" t="s">
        <v>185</v>
      </c>
      <c r="H5" s="166" t="s">
        <v>186</v>
      </c>
      <c r="I5" s="168" t="s">
        <v>187</v>
      </c>
    </row>
    <row r="6" spans="1:11" x14ac:dyDescent="0.2">
      <c r="A6" s="169" t="s">
        <v>188</v>
      </c>
      <c r="B6" s="170">
        <f>SUM(B7+B25)</f>
        <v>6767027057321.4004</v>
      </c>
      <c r="C6" s="171">
        <f t="shared" ref="C6:H6" si="0">SUM(C7+C25)</f>
        <v>711826836560</v>
      </c>
      <c r="D6" s="171">
        <f t="shared" si="0"/>
        <v>2630000000</v>
      </c>
      <c r="E6" s="172">
        <f t="shared" si="0"/>
        <v>64598927504</v>
      </c>
      <c r="F6" s="173">
        <f>SUM(F7+F25)</f>
        <v>7546082821385.4004</v>
      </c>
      <c r="G6" s="174">
        <f t="shared" si="0"/>
        <v>1816570666976</v>
      </c>
      <c r="H6" s="175">
        <f t="shared" si="0"/>
        <v>1443493540326.1765</v>
      </c>
      <c r="I6" s="173">
        <f>SUM(F6:H6)</f>
        <v>10806147028687.576</v>
      </c>
      <c r="J6" s="87"/>
      <c r="K6" s="87"/>
    </row>
    <row r="7" spans="1:11" x14ac:dyDescent="0.2">
      <c r="A7" s="176" t="s">
        <v>189</v>
      </c>
      <c r="B7" s="177">
        <f>SUM(B8:B24)</f>
        <v>6082409643292</v>
      </c>
      <c r="C7" s="25">
        <f t="shared" ref="C7:H7" si="1">SUM(C8:C24)</f>
        <v>0</v>
      </c>
      <c r="D7" s="25">
        <f t="shared" si="1"/>
        <v>0</v>
      </c>
      <c r="E7" s="178">
        <f t="shared" si="1"/>
        <v>34896121859</v>
      </c>
      <c r="F7" s="179">
        <f>SUM(F8:F24)</f>
        <v>6117305765151</v>
      </c>
      <c r="G7" s="180">
        <f t="shared" si="1"/>
        <v>0</v>
      </c>
      <c r="H7" s="181">
        <f t="shared" si="1"/>
        <v>0</v>
      </c>
      <c r="I7" s="182">
        <f>SUM(F7:H7)</f>
        <v>6117305765151</v>
      </c>
      <c r="J7" s="87"/>
      <c r="K7" s="87"/>
    </row>
    <row r="8" spans="1:11" x14ac:dyDescent="0.2">
      <c r="A8" s="183" t="s">
        <v>190</v>
      </c>
      <c r="B8" s="184">
        <f>SUM([11]ing!$H$10)</f>
        <v>1733327429099</v>
      </c>
      <c r="C8" s="37"/>
      <c r="D8" s="37"/>
      <c r="E8" s="185"/>
      <c r="F8" s="186">
        <f>SUM(B8:E8)</f>
        <v>1733327429099</v>
      </c>
      <c r="G8" s="187"/>
      <c r="H8" s="188"/>
      <c r="I8" s="189">
        <f>SUM(F8:H8)</f>
        <v>1733327429099</v>
      </c>
      <c r="J8" s="87"/>
      <c r="K8" s="87"/>
    </row>
    <row r="9" spans="1:11" x14ac:dyDescent="0.2">
      <c r="A9" s="183" t="s">
        <v>191</v>
      </c>
      <c r="B9" s="184">
        <f>SUM([11]ing!$H$11)</f>
        <v>2940348004366</v>
      </c>
      <c r="C9" s="37"/>
      <c r="D9" s="37"/>
      <c r="E9" s="185"/>
      <c r="F9" s="186">
        <f t="shared" ref="F9:F24" si="2">SUM(B9:E9)</f>
        <v>2940348004366</v>
      </c>
      <c r="G9" s="187"/>
      <c r="H9" s="188"/>
      <c r="I9" s="189">
        <f t="shared" ref="I9:I112" si="3">SUM(F9:H9)</f>
        <v>2940348004366</v>
      </c>
      <c r="J9" s="87"/>
      <c r="K9" s="87"/>
    </row>
    <row r="10" spans="1:11" x14ac:dyDescent="0.2">
      <c r="A10" s="183" t="s">
        <v>192</v>
      </c>
      <c r="B10" s="184">
        <f>SUM([11]ing!$H$12)</f>
        <v>-1665000</v>
      </c>
      <c r="C10" s="37"/>
      <c r="D10" s="37"/>
      <c r="E10" s="185"/>
      <c r="F10" s="186">
        <f t="shared" si="2"/>
        <v>-1665000</v>
      </c>
      <c r="G10" s="187"/>
      <c r="H10" s="188"/>
      <c r="I10" s="189">
        <f t="shared" si="3"/>
        <v>-1665000</v>
      </c>
      <c r="J10" s="87"/>
      <c r="K10" s="87"/>
    </row>
    <row r="11" spans="1:11" x14ac:dyDescent="0.2">
      <c r="A11" s="183" t="s">
        <v>193</v>
      </c>
      <c r="B11" s="184">
        <f>SUM([11]ing!$H$13)</f>
        <v>480482917898</v>
      </c>
      <c r="C11" s="37"/>
      <c r="D11" s="37"/>
      <c r="E11" s="185"/>
      <c r="F11" s="186">
        <f t="shared" si="2"/>
        <v>480482917898</v>
      </c>
      <c r="G11" s="187"/>
      <c r="H11" s="188"/>
      <c r="I11" s="189">
        <f t="shared" si="3"/>
        <v>480482917898</v>
      </c>
      <c r="J11" s="87"/>
      <c r="K11" s="87"/>
    </row>
    <row r="12" spans="1:11" x14ac:dyDescent="0.2">
      <c r="A12" s="183" t="s">
        <v>194</v>
      </c>
      <c r="B12" s="184">
        <f>SUM([11]ing!$H$14)</f>
        <v>156192998603</v>
      </c>
      <c r="C12" s="37"/>
      <c r="D12" s="37"/>
      <c r="E12" s="185"/>
      <c r="F12" s="186">
        <f t="shared" si="2"/>
        <v>156192998603</v>
      </c>
      <c r="G12" s="187"/>
      <c r="H12" s="188"/>
      <c r="I12" s="189">
        <f t="shared" si="3"/>
        <v>156192998603</v>
      </c>
      <c r="J12" s="87"/>
      <c r="K12" s="87"/>
    </row>
    <row r="13" spans="1:11" x14ac:dyDescent="0.2">
      <c r="A13" s="183" t="s">
        <v>195</v>
      </c>
      <c r="B13" s="184">
        <f>SUM([11]ing!$H$15)</f>
        <v>13333315000</v>
      </c>
      <c r="C13" s="37"/>
      <c r="D13" s="37"/>
      <c r="E13" s="185"/>
      <c r="F13" s="186">
        <f t="shared" si="2"/>
        <v>13333315000</v>
      </c>
      <c r="G13" s="187"/>
      <c r="H13" s="188"/>
      <c r="I13" s="189">
        <f t="shared" si="3"/>
        <v>13333315000</v>
      </c>
      <c r="J13" s="87"/>
      <c r="K13" s="87"/>
    </row>
    <row r="14" spans="1:11" x14ac:dyDescent="0.2">
      <c r="A14" s="183" t="s">
        <v>196</v>
      </c>
      <c r="B14" s="184">
        <f>SUM([11]ing!$H$16)</f>
        <v>305588937198</v>
      </c>
      <c r="C14" s="37"/>
      <c r="D14" s="37"/>
      <c r="E14" s="185"/>
      <c r="F14" s="186">
        <f t="shared" si="2"/>
        <v>305588937198</v>
      </c>
      <c r="G14" s="187"/>
      <c r="H14" s="188"/>
      <c r="I14" s="189">
        <f t="shared" si="3"/>
        <v>305588937198</v>
      </c>
      <c r="J14" s="87"/>
      <c r="K14" s="87"/>
    </row>
    <row r="15" spans="1:11" x14ac:dyDescent="0.2">
      <c r="A15" s="183" t="s">
        <v>197</v>
      </c>
      <c r="B15" s="184">
        <f>SUM([11]ing!$H$17)</f>
        <v>349492259000</v>
      </c>
      <c r="C15" s="37"/>
      <c r="D15" s="37"/>
      <c r="E15" s="185"/>
      <c r="F15" s="186">
        <f t="shared" si="2"/>
        <v>349492259000</v>
      </c>
      <c r="G15" s="187"/>
      <c r="H15" s="188"/>
      <c r="I15" s="189">
        <f t="shared" si="3"/>
        <v>349492259000</v>
      </c>
      <c r="J15" s="87"/>
      <c r="K15" s="87"/>
    </row>
    <row r="16" spans="1:11" x14ac:dyDescent="0.2">
      <c r="A16" s="190" t="s">
        <v>198</v>
      </c>
      <c r="B16" s="184"/>
      <c r="C16" s="37"/>
      <c r="D16" s="37"/>
      <c r="E16" s="185">
        <f>SUM('[16]2EP_230 01'!$J$80)</f>
        <v>34896121859</v>
      </c>
      <c r="F16" s="186">
        <f t="shared" si="2"/>
        <v>34896121859</v>
      </c>
      <c r="G16" s="187"/>
      <c r="H16" s="188"/>
      <c r="I16" s="189">
        <f t="shared" si="3"/>
        <v>34896121859</v>
      </c>
      <c r="J16" s="87"/>
      <c r="K16" s="87"/>
    </row>
    <row r="17" spans="1:11" ht="25.5" x14ac:dyDescent="0.2">
      <c r="A17" s="190" t="s">
        <v>199</v>
      </c>
      <c r="B17" s="184">
        <f>SUM([11]ing!$H$18)</f>
        <v>6830830000</v>
      </c>
      <c r="C17" s="37"/>
      <c r="D17" s="37"/>
      <c r="E17" s="185"/>
      <c r="F17" s="186">
        <f t="shared" si="2"/>
        <v>6830830000</v>
      </c>
      <c r="G17" s="187"/>
      <c r="H17" s="188"/>
      <c r="I17" s="189">
        <f t="shared" si="3"/>
        <v>6830830000</v>
      </c>
      <c r="J17" s="87"/>
      <c r="K17" s="87"/>
    </row>
    <row r="18" spans="1:11" x14ac:dyDescent="0.2">
      <c r="A18" s="190" t="s">
        <v>200</v>
      </c>
      <c r="B18" s="214"/>
      <c r="C18" s="37"/>
      <c r="D18" s="37"/>
      <c r="E18" s="185"/>
      <c r="F18" s="186">
        <f t="shared" si="2"/>
        <v>0</v>
      </c>
      <c r="G18" s="187"/>
      <c r="H18" s="188"/>
      <c r="I18" s="189">
        <f t="shared" si="3"/>
        <v>0</v>
      </c>
      <c r="J18" s="87"/>
      <c r="K18" s="87"/>
    </row>
    <row r="19" spans="1:11" x14ac:dyDescent="0.2">
      <c r="A19" s="190" t="s">
        <v>201</v>
      </c>
      <c r="B19" s="184">
        <f>SUM([11]ing!$H$19)</f>
        <v>5902564</v>
      </c>
      <c r="C19" s="37"/>
      <c r="D19" s="37"/>
      <c r="E19" s="185"/>
      <c r="F19" s="186">
        <f t="shared" si="2"/>
        <v>5902564</v>
      </c>
      <c r="G19" s="187"/>
      <c r="H19" s="188"/>
      <c r="I19" s="189">
        <f t="shared" si="3"/>
        <v>5902564</v>
      </c>
      <c r="J19" s="87"/>
      <c r="K19" s="87"/>
    </row>
    <row r="20" spans="1:11" x14ac:dyDescent="0.2">
      <c r="A20" s="190" t="s">
        <v>202</v>
      </c>
      <c r="B20" s="184">
        <f>SUM([11]ing!$H$20)</f>
        <v>15291141206</v>
      </c>
      <c r="C20" s="37"/>
      <c r="D20" s="37"/>
      <c r="E20" s="185"/>
      <c r="F20" s="186">
        <f t="shared" si="2"/>
        <v>15291141206</v>
      </c>
      <c r="G20" s="187"/>
      <c r="H20" s="188"/>
      <c r="I20" s="189">
        <f t="shared" si="3"/>
        <v>15291141206</v>
      </c>
      <c r="J20" s="87"/>
      <c r="K20" s="87"/>
    </row>
    <row r="21" spans="1:11" x14ac:dyDescent="0.2">
      <c r="A21" s="190" t="s">
        <v>203</v>
      </c>
      <c r="B21" s="184">
        <f>SUM([11]ing!$H$21)</f>
        <v>15291143206</v>
      </c>
      <c r="C21" s="37"/>
      <c r="D21" s="37"/>
      <c r="E21" s="185"/>
      <c r="F21" s="186">
        <f t="shared" si="2"/>
        <v>15291143206</v>
      </c>
      <c r="G21" s="187"/>
      <c r="H21" s="188"/>
      <c r="I21" s="189">
        <f t="shared" si="3"/>
        <v>15291143206</v>
      </c>
      <c r="J21" s="87"/>
      <c r="K21" s="87"/>
    </row>
    <row r="22" spans="1:11" ht="38.25" x14ac:dyDescent="0.2">
      <c r="A22" s="191" t="s">
        <v>204</v>
      </c>
      <c r="B22" s="184">
        <f>SUM([11]ing!$H$22)</f>
        <v>10918291354</v>
      </c>
      <c r="C22" s="37"/>
      <c r="D22" s="37"/>
      <c r="E22" s="185"/>
      <c r="F22" s="186">
        <f t="shared" si="2"/>
        <v>10918291354</v>
      </c>
      <c r="G22" s="187"/>
      <c r="H22" s="188"/>
      <c r="I22" s="189">
        <f t="shared" si="3"/>
        <v>10918291354</v>
      </c>
      <c r="J22" s="87"/>
      <c r="K22" s="87"/>
    </row>
    <row r="23" spans="1:11" x14ac:dyDescent="0.2">
      <c r="A23" s="341" t="s">
        <v>378</v>
      </c>
      <c r="B23" s="184">
        <f>SUM([11]ing!$H$23)</f>
        <v>55308138798</v>
      </c>
      <c r="C23" s="37"/>
      <c r="D23" s="37"/>
      <c r="E23" s="185"/>
      <c r="F23" s="186">
        <f t="shared" si="2"/>
        <v>55308138798</v>
      </c>
      <c r="G23" s="187"/>
      <c r="H23" s="188"/>
      <c r="I23" s="189">
        <f t="shared" si="3"/>
        <v>55308138798</v>
      </c>
      <c r="J23" s="87"/>
      <c r="K23" s="87"/>
    </row>
    <row r="24" spans="1:11" x14ac:dyDescent="0.2">
      <c r="A24" s="183" t="s">
        <v>205</v>
      </c>
      <c r="B24" s="184"/>
      <c r="C24" s="37"/>
      <c r="D24" s="37"/>
      <c r="E24" s="185"/>
      <c r="F24" s="186">
        <f t="shared" si="2"/>
        <v>0</v>
      </c>
      <c r="G24" s="187"/>
      <c r="H24" s="188"/>
      <c r="I24" s="189">
        <f t="shared" si="3"/>
        <v>0</v>
      </c>
      <c r="J24" s="87"/>
      <c r="K24" s="87"/>
    </row>
    <row r="25" spans="1:11" x14ac:dyDescent="0.2">
      <c r="A25" s="176" t="s">
        <v>206</v>
      </c>
      <c r="B25" s="177">
        <f t="shared" ref="B25:H25" si="4">SUM(B26:B41)</f>
        <v>684617414029.40002</v>
      </c>
      <c r="C25" s="25">
        <f t="shared" si="4"/>
        <v>711826836560</v>
      </c>
      <c r="D25" s="25">
        <f t="shared" si="4"/>
        <v>2630000000</v>
      </c>
      <c r="E25" s="178">
        <f t="shared" si="4"/>
        <v>29702805645</v>
      </c>
      <c r="F25" s="179">
        <f t="shared" si="4"/>
        <v>1428777056234.3999</v>
      </c>
      <c r="G25" s="180">
        <f t="shared" si="4"/>
        <v>1816570666976</v>
      </c>
      <c r="H25" s="181">
        <f t="shared" si="4"/>
        <v>1443493540326.1765</v>
      </c>
      <c r="I25" s="182">
        <f t="shared" si="3"/>
        <v>4688841263536.5762</v>
      </c>
      <c r="J25" s="87"/>
      <c r="K25" s="87"/>
    </row>
    <row r="26" spans="1:11" x14ac:dyDescent="0.2">
      <c r="A26" s="183" t="s">
        <v>207</v>
      </c>
      <c r="B26" s="184"/>
      <c r="C26" s="37"/>
      <c r="D26" s="37"/>
      <c r="E26" s="185"/>
      <c r="F26" s="186">
        <f t="shared" ref="F26:F41" si="5">SUM(B26:E26)</f>
        <v>0</v>
      </c>
      <c r="G26" s="187">
        <f>SUM([14]ictas!$G$34)</f>
        <v>1814570666976</v>
      </c>
      <c r="H26" s="188"/>
      <c r="I26" s="189">
        <f t="shared" si="3"/>
        <v>1814570666976</v>
      </c>
      <c r="J26" s="87"/>
      <c r="K26" s="87"/>
    </row>
    <row r="27" spans="1:11" x14ac:dyDescent="0.2">
      <c r="A27" s="183" t="s">
        <v>208</v>
      </c>
      <c r="B27" s="184">
        <f>SUM([11]ing!$H$26)</f>
        <v>983414415</v>
      </c>
      <c r="C27" s="37"/>
      <c r="D27" s="37"/>
      <c r="E27" s="185"/>
      <c r="F27" s="186">
        <f>SUM(B27:E27)</f>
        <v>983414415</v>
      </c>
      <c r="G27" s="187"/>
      <c r="H27" s="188"/>
      <c r="I27" s="189">
        <f>SUM(F27:H27)</f>
        <v>983414415</v>
      </c>
      <c r="J27" s="87"/>
      <c r="K27" s="87"/>
    </row>
    <row r="28" spans="1:11" x14ac:dyDescent="0.2">
      <c r="A28" s="183" t="s">
        <v>209</v>
      </c>
      <c r="B28" s="184">
        <f>SUM([11]ing!$H$28)</f>
        <v>137359201854.71001</v>
      </c>
      <c r="C28" s="37">
        <f>SUM([17]Hoja2!$L$10)</f>
        <v>2475704988</v>
      </c>
      <c r="D28" s="37"/>
      <c r="E28" s="185"/>
      <c r="F28" s="186">
        <f t="shared" si="5"/>
        <v>139834906842.71002</v>
      </c>
      <c r="G28" s="187"/>
      <c r="H28" s="188"/>
      <c r="I28" s="189">
        <f t="shared" si="3"/>
        <v>139834906842.71002</v>
      </c>
      <c r="J28" s="87"/>
      <c r="K28" s="87"/>
    </row>
    <row r="29" spans="1:11" x14ac:dyDescent="0.2">
      <c r="A29" s="183" t="s">
        <v>210</v>
      </c>
      <c r="B29" s="184"/>
      <c r="C29" s="37">
        <f>SUM([17]Hoja2!$L$12)</f>
        <v>189820547180</v>
      </c>
      <c r="D29" s="37">
        <f>SUM(anexo1!E10)</f>
        <v>2630000000</v>
      </c>
      <c r="E29" s="185">
        <f>SUM('[16]2EP_230 01'!$J$82)</f>
        <v>24039994436</v>
      </c>
      <c r="F29" s="186">
        <f t="shared" si="5"/>
        <v>216490541616</v>
      </c>
      <c r="G29" s="187">
        <f>SUM([14]ictas!$G$133)</f>
        <v>2000000000</v>
      </c>
      <c r="H29" s="188">
        <f>SUM('[15] INGRESOS'!$G$12)</f>
        <v>1437783428371.5166</v>
      </c>
      <c r="I29" s="189">
        <f t="shared" si="3"/>
        <v>1656273969987.5166</v>
      </c>
      <c r="J29" s="87"/>
      <c r="K29" s="87"/>
    </row>
    <row r="30" spans="1:11" x14ac:dyDescent="0.2">
      <c r="A30" s="183" t="s">
        <v>211</v>
      </c>
      <c r="B30" s="184">
        <f>SUM([11]ing!$H$31)</f>
        <v>64046467313</v>
      </c>
      <c r="C30" s="37">
        <f>SUM([17]Hoja2!$L$22)</f>
        <v>231663815556</v>
      </c>
      <c r="D30" s="37"/>
      <c r="E30" s="185"/>
      <c r="F30" s="186">
        <f t="shared" si="5"/>
        <v>295710282869</v>
      </c>
      <c r="G30" s="187"/>
      <c r="H30" s="188"/>
      <c r="I30" s="189">
        <f t="shared" si="3"/>
        <v>295710282869</v>
      </c>
      <c r="J30" s="87"/>
      <c r="K30" s="87"/>
    </row>
    <row r="31" spans="1:11" x14ac:dyDescent="0.2">
      <c r="A31" s="183" t="s">
        <v>212</v>
      </c>
      <c r="B31" s="184">
        <f>SUM([11]ing!$H$34)</f>
        <v>160372706317.22</v>
      </c>
      <c r="C31" s="37">
        <f>SUM([17]Hoja2!$L$29)</f>
        <v>203979198524</v>
      </c>
      <c r="D31" s="37"/>
      <c r="E31" s="185"/>
      <c r="F31" s="186">
        <f t="shared" si="5"/>
        <v>364351904841.21997</v>
      </c>
      <c r="G31" s="187"/>
      <c r="H31" s="188"/>
      <c r="I31" s="189">
        <f t="shared" si="3"/>
        <v>364351904841.21997</v>
      </c>
      <c r="J31" s="87"/>
      <c r="K31" s="87"/>
    </row>
    <row r="32" spans="1:11" x14ac:dyDescent="0.2">
      <c r="A32" s="190" t="s">
        <v>213</v>
      </c>
      <c r="B32" s="184"/>
      <c r="C32" s="37"/>
      <c r="D32" s="37"/>
      <c r="E32" s="185"/>
      <c r="F32" s="186">
        <f t="shared" si="5"/>
        <v>0</v>
      </c>
      <c r="G32" s="187"/>
      <c r="H32" s="188"/>
      <c r="I32" s="189">
        <f t="shared" si="3"/>
        <v>0</v>
      </c>
      <c r="J32" s="87"/>
      <c r="K32" s="87"/>
    </row>
    <row r="33" spans="1:11" x14ac:dyDescent="0.2">
      <c r="A33" s="183" t="s">
        <v>214</v>
      </c>
      <c r="B33" s="184"/>
      <c r="C33" s="37"/>
      <c r="D33" s="37"/>
      <c r="E33" s="185"/>
      <c r="F33" s="186">
        <f t="shared" si="5"/>
        <v>0</v>
      </c>
      <c r="G33" s="187"/>
      <c r="H33" s="188"/>
      <c r="I33" s="189">
        <f t="shared" si="3"/>
        <v>0</v>
      </c>
      <c r="J33" s="87"/>
      <c r="K33" s="87"/>
    </row>
    <row r="34" spans="1:11" ht="25.5" x14ac:dyDescent="0.2">
      <c r="A34" s="192" t="s">
        <v>215</v>
      </c>
      <c r="B34" s="184"/>
      <c r="C34" s="37">
        <f>SUM([17]Hoja2!$L$52)</f>
        <v>40280703811</v>
      </c>
      <c r="D34" s="37"/>
      <c r="E34" s="185"/>
      <c r="F34" s="186">
        <f t="shared" si="5"/>
        <v>40280703811</v>
      </c>
      <c r="G34" s="187"/>
      <c r="H34" s="188"/>
      <c r="I34" s="189">
        <f t="shared" si="3"/>
        <v>40280703811</v>
      </c>
      <c r="J34" s="87"/>
      <c r="K34" s="87"/>
    </row>
    <row r="35" spans="1:11" x14ac:dyDescent="0.2">
      <c r="A35" s="192" t="s">
        <v>216</v>
      </c>
      <c r="B35" s="184"/>
      <c r="C35" s="37">
        <f>SUM([17]Hoja2!$L$53)</f>
        <v>31913596034</v>
      </c>
      <c r="D35" s="37"/>
      <c r="E35" s="185"/>
      <c r="F35" s="186">
        <f t="shared" si="5"/>
        <v>31913596034</v>
      </c>
      <c r="G35" s="187"/>
      <c r="H35" s="188"/>
      <c r="I35" s="189">
        <f t="shared" si="3"/>
        <v>31913596034</v>
      </c>
      <c r="J35" s="87"/>
      <c r="K35" s="87"/>
    </row>
    <row r="36" spans="1:11" x14ac:dyDescent="0.2">
      <c r="A36" s="183" t="s">
        <v>217</v>
      </c>
      <c r="B36" s="184">
        <f>SUM([11]ing!$H$44)</f>
        <v>69601873046</v>
      </c>
      <c r="C36" s="37"/>
      <c r="D36" s="37"/>
      <c r="E36" s="185"/>
      <c r="F36" s="186">
        <f t="shared" si="5"/>
        <v>69601873046</v>
      </c>
      <c r="G36" s="187"/>
      <c r="H36" s="188"/>
      <c r="I36" s="189">
        <f t="shared" si="3"/>
        <v>69601873046</v>
      </c>
      <c r="J36" s="87"/>
      <c r="K36" s="87"/>
    </row>
    <row r="37" spans="1:11" x14ac:dyDescent="0.2">
      <c r="A37" s="193" t="s">
        <v>218</v>
      </c>
      <c r="B37" s="184">
        <f>SUM([11]ing!$H$46)</f>
        <v>132297180333</v>
      </c>
      <c r="C37" s="37"/>
      <c r="D37" s="37"/>
      <c r="E37" s="185"/>
      <c r="F37" s="186">
        <f t="shared" si="5"/>
        <v>132297180333</v>
      </c>
      <c r="G37" s="187"/>
      <c r="H37" s="188"/>
      <c r="I37" s="189">
        <f t="shared" si="3"/>
        <v>132297180333</v>
      </c>
      <c r="J37" s="87"/>
      <c r="K37" s="87"/>
    </row>
    <row r="38" spans="1:11" x14ac:dyDescent="0.2">
      <c r="A38" s="193" t="s">
        <v>219</v>
      </c>
      <c r="B38" s="184">
        <f>SUM([11]ing!$H$47)</f>
        <v>104073217097</v>
      </c>
      <c r="C38" s="37"/>
      <c r="D38" s="37"/>
      <c r="E38" s="185"/>
      <c r="F38" s="186">
        <f t="shared" si="5"/>
        <v>104073217097</v>
      </c>
      <c r="G38" s="187"/>
      <c r="H38" s="188"/>
      <c r="I38" s="189">
        <f t="shared" si="3"/>
        <v>104073217097</v>
      </c>
      <c r="J38" s="87"/>
      <c r="K38" s="87"/>
    </row>
    <row r="39" spans="1:11" x14ac:dyDescent="0.2">
      <c r="A39" s="346" t="s">
        <v>389</v>
      </c>
      <c r="B39" s="184">
        <f>SUM([11]ing!$H$48)</f>
        <v>4518700122</v>
      </c>
      <c r="C39" s="37"/>
      <c r="D39" s="37"/>
      <c r="E39" s="185"/>
      <c r="F39" s="186">
        <f t="shared" si="5"/>
        <v>4518700122</v>
      </c>
      <c r="G39" s="187"/>
      <c r="H39" s="188"/>
      <c r="I39" s="189">
        <f t="shared" si="3"/>
        <v>4518700122</v>
      </c>
      <c r="J39" s="87"/>
      <c r="K39" s="87"/>
    </row>
    <row r="40" spans="1:11" x14ac:dyDescent="0.2">
      <c r="A40" s="183" t="s">
        <v>220</v>
      </c>
      <c r="B40" s="184">
        <f>SUM([11]ing!$H$49)</f>
        <v>11364653531.469999</v>
      </c>
      <c r="C40" s="37">
        <f>SUM([17]Hoja2!$L$56)</f>
        <v>11693270467</v>
      </c>
      <c r="D40" s="37"/>
      <c r="E40" s="185">
        <f>SUM('[16]2EP_230 01'!$J$85)</f>
        <v>5662811209</v>
      </c>
      <c r="F40" s="186">
        <f>SUM(B40:E40)</f>
        <v>28720735207.470001</v>
      </c>
      <c r="G40" s="187"/>
      <c r="H40" s="188">
        <f>SUM('[15] INGRESOS'!$G$55)</f>
        <v>5710111954.6599998</v>
      </c>
      <c r="I40" s="189">
        <f>SUM(F40:H40)</f>
        <v>34430847162.130005</v>
      </c>
      <c r="J40" s="87"/>
      <c r="K40" s="87"/>
    </row>
    <row r="41" spans="1:11" x14ac:dyDescent="0.2">
      <c r="A41" s="183" t="s">
        <v>221</v>
      </c>
      <c r="B41" s="184"/>
      <c r="C41" s="37"/>
      <c r="D41" s="37"/>
      <c r="E41" s="185"/>
      <c r="F41" s="186">
        <f t="shared" si="5"/>
        <v>0</v>
      </c>
      <c r="G41" s="187"/>
      <c r="H41" s="188"/>
      <c r="I41" s="189">
        <f t="shared" si="3"/>
        <v>0</v>
      </c>
      <c r="J41" s="87"/>
      <c r="K41" s="87"/>
    </row>
    <row r="42" spans="1:11" x14ac:dyDescent="0.2">
      <c r="A42" s="176" t="s">
        <v>135</v>
      </c>
      <c r="B42" s="177">
        <f>SUM(B43:B48)</f>
        <v>2162310826692.54</v>
      </c>
      <c r="C42" s="25">
        <f t="shared" ref="C42:H42" si="6">SUM(C43:C48)</f>
        <v>441173271331</v>
      </c>
      <c r="D42" s="25">
        <f t="shared" si="6"/>
        <v>0</v>
      </c>
      <c r="E42" s="178">
        <f t="shared" si="6"/>
        <v>19132407604</v>
      </c>
      <c r="F42" s="179">
        <f>SUM(F43:F48)</f>
        <v>2622616505627.5396</v>
      </c>
      <c r="G42" s="180">
        <f t="shared" si="6"/>
        <v>991128671521</v>
      </c>
      <c r="H42" s="181">
        <f t="shared" si="6"/>
        <v>0</v>
      </c>
      <c r="I42" s="182">
        <f t="shared" si="3"/>
        <v>3613745177148.5396</v>
      </c>
      <c r="J42" s="87"/>
      <c r="K42" s="87"/>
    </row>
    <row r="43" spans="1:11" x14ac:dyDescent="0.2">
      <c r="A43" s="183" t="s">
        <v>222</v>
      </c>
      <c r="B43" s="184">
        <f>SUM([11]ing!$H$51)</f>
        <v>2151875876367.76</v>
      </c>
      <c r="C43" s="37">
        <f>SUM([17]Hoja2!$L$58)</f>
        <v>441173271331</v>
      </c>
      <c r="D43" s="37"/>
      <c r="E43" s="185">
        <f>SUM('[16]2EP_230 01'!$J$87)</f>
        <v>19132407604</v>
      </c>
      <c r="F43" s="186">
        <f t="shared" ref="F43:F48" si="7">SUM(B43:E43)</f>
        <v>2612181555302.7598</v>
      </c>
      <c r="G43" s="187">
        <f>SUM([14]ictas!$G$199)</f>
        <v>77458235822</v>
      </c>
      <c r="H43" s="188"/>
      <c r="I43" s="189">
        <f t="shared" si="3"/>
        <v>2689639791124.7598</v>
      </c>
      <c r="J43" s="87"/>
      <c r="K43" s="87"/>
    </row>
    <row r="44" spans="1:11" x14ac:dyDescent="0.2">
      <c r="A44" s="183" t="s">
        <v>223</v>
      </c>
      <c r="B44" s="184"/>
      <c r="C44" s="37"/>
      <c r="D44" s="37"/>
      <c r="E44" s="185"/>
      <c r="F44" s="186">
        <f t="shared" si="7"/>
        <v>0</v>
      </c>
      <c r="G44" s="187"/>
      <c r="H44" s="188"/>
      <c r="I44" s="189">
        <f t="shared" si="3"/>
        <v>0</v>
      </c>
      <c r="J44" s="87"/>
      <c r="K44" s="87"/>
    </row>
    <row r="45" spans="1:11" x14ac:dyDescent="0.2">
      <c r="A45" s="183" t="s">
        <v>224</v>
      </c>
      <c r="B45" s="184"/>
      <c r="C45" s="37"/>
      <c r="D45" s="37"/>
      <c r="E45" s="185"/>
      <c r="F45" s="186">
        <f t="shared" si="7"/>
        <v>0</v>
      </c>
      <c r="G45" s="187">
        <f>SUM([14]ictas!$G$230)</f>
        <v>1928995149</v>
      </c>
      <c r="H45" s="188"/>
      <c r="I45" s="189">
        <f t="shared" si="3"/>
        <v>1928995149</v>
      </c>
      <c r="J45" s="87"/>
      <c r="K45" s="87"/>
    </row>
    <row r="46" spans="1:11" x14ac:dyDescent="0.2">
      <c r="A46" s="183" t="s">
        <v>225</v>
      </c>
      <c r="B46" s="184"/>
      <c r="C46" s="37"/>
      <c r="D46" s="37"/>
      <c r="E46" s="185"/>
      <c r="F46" s="186">
        <f t="shared" si="7"/>
        <v>0</v>
      </c>
      <c r="G46" s="187">
        <f>SUM([14]ictas!$G$234)</f>
        <v>7544381366</v>
      </c>
      <c r="H46" s="188"/>
      <c r="I46" s="189">
        <f t="shared" si="3"/>
        <v>7544381366</v>
      </c>
      <c r="J46" s="87"/>
      <c r="K46" s="87"/>
    </row>
    <row r="47" spans="1:11" x14ac:dyDescent="0.2">
      <c r="A47" s="183" t="s">
        <v>131</v>
      </c>
      <c r="B47" s="184"/>
      <c r="C47" s="37"/>
      <c r="D47" s="37"/>
      <c r="E47" s="185"/>
      <c r="F47" s="186">
        <f t="shared" si="7"/>
        <v>0</v>
      </c>
      <c r="G47" s="187">
        <f>SUM([14]ictas!$G$242)</f>
        <v>904197059184</v>
      </c>
      <c r="H47" s="188"/>
      <c r="I47" s="189">
        <f t="shared" si="3"/>
        <v>904197059184</v>
      </c>
      <c r="J47" s="87"/>
      <c r="K47" s="87"/>
    </row>
    <row r="48" spans="1:11" x14ac:dyDescent="0.2">
      <c r="A48" s="183" t="s">
        <v>226</v>
      </c>
      <c r="B48" s="184">
        <f>SUM([11]ing!$H$74)</f>
        <v>10434950324.780001</v>
      </c>
      <c r="C48" s="37"/>
      <c r="D48" s="37"/>
      <c r="E48" s="185"/>
      <c r="F48" s="186">
        <f t="shared" si="7"/>
        <v>10434950324.780001</v>
      </c>
      <c r="G48" s="187">
        <f>SUM([18]ingcta!$G$99)</f>
        <v>0</v>
      </c>
      <c r="H48" s="188"/>
      <c r="I48" s="189">
        <f t="shared" si="3"/>
        <v>10434950324.780001</v>
      </c>
      <c r="J48" s="87"/>
      <c r="K48" s="87"/>
    </row>
    <row r="49" spans="1:11" x14ac:dyDescent="0.2">
      <c r="A49" s="176" t="s">
        <v>139</v>
      </c>
      <c r="B49" s="177">
        <f>SUM(B50:B64)-B53</f>
        <v>2313178416074.0801</v>
      </c>
      <c r="C49" s="25">
        <f>SUM(C50:C64)-C53</f>
        <v>1143103136413</v>
      </c>
      <c r="D49" s="25">
        <f>SUM(D50:D64)-D53</f>
        <v>0</v>
      </c>
      <c r="E49" s="178">
        <f>SUM(E50:E64)-E53</f>
        <v>3903769440</v>
      </c>
      <c r="F49" s="179">
        <f>SUM(F50:F64)-F53</f>
        <v>3460185321927.0801</v>
      </c>
      <c r="G49" s="180">
        <f>SUM(G50:G65)-G53</f>
        <v>258906438797</v>
      </c>
      <c r="H49" s="181">
        <f>SUM(H50:H65)-H53</f>
        <v>3353034027.4060001</v>
      </c>
      <c r="I49" s="182">
        <f t="shared" si="3"/>
        <v>3722444794751.4858</v>
      </c>
      <c r="J49" s="87"/>
      <c r="K49" s="87"/>
    </row>
    <row r="50" spans="1:11" x14ac:dyDescent="0.2">
      <c r="A50" s="183" t="s">
        <v>227</v>
      </c>
      <c r="B50" s="184">
        <f>SUM([11]ing!$H$78)</f>
        <v>1085834613482.7</v>
      </c>
      <c r="C50" s="37">
        <f>SUM([17]Hoja2!$L$63)</f>
        <v>954172352816</v>
      </c>
      <c r="D50" s="37"/>
      <c r="E50" s="185"/>
      <c r="F50" s="186">
        <f t="shared" ref="F50:F66" si="8">SUM(B50:E50)</f>
        <v>2040006966298.7</v>
      </c>
      <c r="G50" s="187"/>
      <c r="H50" s="188">
        <f>SUM('[15] INGRESOS'!$G$58)</f>
        <v>80728473</v>
      </c>
      <c r="I50" s="189">
        <f t="shared" si="3"/>
        <v>2040087694771.7</v>
      </c>
      <c r="J50" s="87"/>
      <c r="K50" s="87"/>
    </row>
    <row r="51" spans="1:11" x14ac:dyDescent="0.2">
      <c r="A51" s="110" t="s">
        <v>377</v>
      </c>
      <c r="B51" s="184"/>
      <c r="C51" s="37"/>
      <c r="D51" s="37"/>
      <c r="E51" s="185">
        <f>SUM('[16]2EP_230 01'!$J$92)</f>
        <v>128121754</v>
      </c>
      <c r="F51" s="186">
        <f t="shared" si="8"/>
        <v>128121754</v>
      </c>
      <c r="G51" s="187"/>
      <c r="H51" s="188"/>
      <c r="I51" s="189"/>
      <c r="J51" s="87"/>
      <c r="K51" s="87"/>
    </row>
    <row r="52" spans="1:11" x14ac:dyDescent="0.2">
      <c r="A52" s="110" t="s">
        <v>398</v>
      </c>
      <c r="B52" s="184">
        <f>SUM([11]ing!$H$84)</f>
        <v>302751962305</v>
      </c>
      <c r="C52" s="37"/>
      <c r="D52" s="37"/>
      <c r="E52" s="185"/>
      <c r="F52" s="186">
        <f t="shared" si="8"/>
        <v>302751962305</v>
      </c>
      <c r="G52" s="187"/>
      <c r="H52" s="188"/>
      <c r="I52" s="189">
        <f t="shared" si="3"/>
        <v>302751962305</v>
      </c>
      <c r="J52" s="87"/>
      <c r="K52" s="87"/>
    </row>
    <row r="53" spans="1:11" x14ac:dyDescent="0.2">
      <c r="A53" s="183" t="s">
        <v>228</v>
      </c>
      <c r="B53" s="37">
        <f>SUM(B54:B55)</f>
        <v>61147527069</v>
      </c>
      <c r="C53" s="37">
        <f t="shared" ref="C53:E53" si="9">SUM(C54:C55)</f>
        <v>0</v>
      </c>
      <c r="D53" s="37">
        <f t="shared" si="9"/>
        <v>0</v>
      </c>
      <c r="E53" s="37">
        <f t="shared" si="9"/>
        <v>0</v>
      </c>
      <c r="F53" s="186">
        <f t="shared" si="8"/>
        <v>61147527069</v>
      </c>
      <c r="G53" s="187">
        <f>SUM(G54:G55)</f>
        <v>1750000000</v>
      </c>
      <c r="H53" s="185">
        <f>SUM(H54:H55)</f>
        <v>0</v>
      </c>
      <c r="I53" s="189">
        <f t="shared" si="3"/>
        <v>62897527069</v>
      </c>
      <c r="J53" s="87"/>
      <c r="K53" s="87"/>
    </row>
    <row r="54" spans="1:11" x14ac:dyDescent="0.2">
      <c r="A54" s="183" t="s">
        <v>229</v>
      </c>
      <c r="B54" s="184">
        <f>SUM([11]ing!$H$85)</f>
        <v>61147527069</v>
      </c>
      <c r="C54" s="37"/>
      <c r="D54" s="37"/>
      <c r="E54" s="185"/>
      <c r="F54" s="186">
        <f t="shared" si="8"/>
        <v>61147527069</v>
      </c>
      <c r="G54" s="187">
        <f>SUM([14]ictas!$G$291)</f>
        <v>1750000000</v>
      </c>
      <c r="H54" s="188"/>
      <c r="I54" s="189">
        <f t="shared" si="3"/>
        <v>62897527069</v>
      </c>
      <c r="J54" s="87"/>
      <c r="K54" s="87"/>
    </row>
    <row r="55" spans="1:11" x14ac:dyDescent="0.2">
      <c r="A55" s="183" t="s">
        <v>230</v>
      </c>
      <c r="B55" s="184"/>
      <c r="C55" s="37"/>
      <c r="D55" s="37"/>
      <c r="E55" s="185"/>
      <c r="F55" s="186">
        <f t="shared" si="8"/>
        <v>0</v>
      </c>
      <c r="G55" s="187"/>
      <c r="H55" s="188"/>
      <c r="I55" s="189">
        <f t="shared" si="3"/>
        <v>0</v>
      </c>
      <c r="J55" s="87"/>
      <c r="K55" s="87"/>
    </row>
    <row r="56" spans="1:11" ht="25.5" x14ac:dyDescent="0.2">
      <c r="A56" s="183" t="s">
        <v>231</v>
      </c>
      <c r="B56" s="184">
        <f>SUM([11]ing!$H$88)</f>
        <v>222596299350.88</v>
      </c>
      <c r="C56" s="37">
        <f>SUM([17]Hoja2!$L$70)</f>
        <v>150878374558</v>
      </c>
      <c r="D56" s="37"/>
      <c r="E56" s="185">
        <f>SUM('[16]2EP_230 01'!$J$95)</f>
        <v>1041060361</v>
      </c>
      <c r="F56" s="186">
        <f t="shared" si="8"/>
        <v>374515734269.88</v>
      </c>
      <c r="G56" s="187">
        <f>SUM([14]ictas!$G$295)</f>
        <v>115089666682</v>
      </c>
      <c r="H56" s="188">
        <f>SUM('[15] INGRESOS'!$G$61)</f>
        <v>2986841464.4060001</v>
      </c>
      <c r="I56" s="189">
        <f t="shared" si="3"/>
        <v>492592242416.28601</v>
      </c>
      <c r="J56" s="87"/>
      <c r="K56" s="87"/>
    </row>
    <row r="57" spans="1:11" x14ac:dyDescent="0.2">
      <c r="A57" s="183" t="s">
        <v>232</v>
      </c>
      <c r="B57" s="184">
        <f>SUM([11]ing!$H$91)</f>
        <v>4823089.41</v>
      </c>
      <c r="C57" s="37"/>
      <c r="D57" s="37"/>
      <c r="E57" s="185"/>
      <c r="F57" s="186">
        <f t="shared" si="8"/>
        <v>4823089.41</v>
      </c>
      <c r="G57" s="187"/>
      <c r="H57" s="188"/>
      <c r="I57" s="189">
        <f t="shared" si="3"/>
        <v>4823089.41</v>
      </c>
      <c r="J57" s="87"/>
      <c r="K57" s="87"/>
    </row>
    <row r="58" spans="1:11" ht="38.25" x14ac:dyDescent="0.2">
      <c r="A58" s="183" t="s">
        <v>233</v>
      </c>
      <c r="B58" s="184">
        <f>SUM([11]ing!$H$92)</f>
        <v>586106745794.35999</v>
      </c>
      <c r="C58" s="37">
        <f>SUM([17]Hoja2!$L$73)</f>
        <v>36004601245</v>
      </c>
      <c r="D58" s="37"/>
      <c r="E58" s="185">
        <f>SUM('[16]2EP_230 01'!$J$98)</f>
        <v>1429007073</v>
      </c>
      <c r="F58" s="186">
        <f t="shared" si="8"/>
        <v>623540354112.35999</v>
      </c>
      <c r="G58" s="187"/>
      <c r="H58" s="188"/>
      <c r="I58" s="189">
        <f t="shared" si="3"/>
        <v>623540354112.35999</v>
      </c>
      <c r="J58" s="87"/>
      <c r="K58" s="87"/>
    </row>
    <row r="59" spans="1:11" x14ac:dyDescent="0.2">
      <c r="A59" s="183" t="s">
        <v>234</v>
      </c>
      <c r="B59" s="184">
        <f>SUM([11]ing!$H$93)</f>
        <v>878458718</v>
      </c>
      <c r="C59" s="37">
        <f>SUM([17]Hoja2!$L$74)</f>
        <v>17907420</v>
      </c>
      <c r="D59" s="37"/>
      <c r="E59" s="185"/>
      <c r="F59" s="186">
        <f t="shared" si="8"/>
        <v>896366138</v>
      </c>
      <c r="G59" s="187"/>
      <c r="H59" s="188"/>
      <c r="I59" s="189">
        <f t="shared" si="3"/>
        <v>896366138</v>
      </c>
      <c r="J59" s="87"/>
      <c r="K59" s="87"/>
    </row>
    <row r="60" spans="1:11" ht="25.5" x14ac:dyDescent="0.2">
      <c r="A60" s="183" t="s">
        <v>235</v>
      </c>
      <c r="B60" s="184"/>
      <c r="C60" s="37"/>
      <c r="D60" s="37"/>
      <c r="E60" s="185"/>
      <c r="F60" s="186">
        <f t="shared" si="8"/>
        <v>0</v>
      </c>
      <c r="G60" s="187"/>
      <c r="H60" s="188"/>
      <c r="I60" s="189">
        <f t="shared" si="3"/>
        <v>0</v>
      </c>
      <c r="J60" s="87"/>
      <c r="K60" s="87"/>
    </row>
    <row r="61" spans="1:11" x14ac:dyDescent="0.2">
      <c r="A61" s="194" t="s">
        <v>236</v>
      </c>
      <c r="B61" s="184"/>
      <c r="C61" s="37"/>
      <c r="D61" s="37"/>
      <c r="E61" s="185"/>
      <c r="F61" s="186">
        <f t="shared" si="8"/>
        <v>0</v>
      </c>
      <c r="G61" s="187">
        <f>SUM([14]ictas!$G$311)</f>
        <v>15400000000</v>
      </c>
      <c r="H61" s="188"/>
      <c r="I61" s="189">
        <f t="shared" si="3"/>
        <v>15400000000</v>
      </c>
      <c r="J61" s="87"/>
      <c r="K61" s="87"/>
    </row>
    <row r="62" spans="1:11" x14ac:dyDescent="0.2">
      <c r="A62" s="194" t="s">
        <v>237</v>
      </c>
      <c r="B62" s="184"/>
      <c r="C62" s="37"/>
      <c r="D62" s="37"/>
      <c r="E62" s="185"/>
      <c r="F62" s="186">
        <f t="shared" si="8"/>
        <v>0</v>
      </c>
      <c r="G62" s="187">
        <f>SUM([14]ictas!$G$312)</f>
        <v>928476301</v>
      </c>
      <c r="H62" s="188"/>
      <c r="I62" s="189">
        <f t="shared" si="3"/>
        <v>928476301</v>
      </c>
      <c r="J62" s="87"/>
      <c r="K62" s="87"/>
    </row>
    <row r="63" spans="1:11" x14ac:dyDescent="0.2">
      <c r="A63" s="195" t="s">
        <v>238</v>
      </c>
      <c r="B63" s="184"/>
      <c r="C63" s="37"/>
      <c r="D63" s="37"/>
      <c r="E63" s="185"/>
      <c r="F63" s="186">
        <f t="shared" si="8"/>
        <v>0</v>
      </c>
      <c r="G63" s="187"/>
      <c r="H63" s="188"/>
      <c r="I63" s="189">
        <f t="shared" si="3"/>
        <v>0</v>
      </c>
      <c r="J63" s="87"/>
      <c r="K63" s="87"/>
    </row>
    <row r="64" spans="1:11" x14ac:dyDescent="0.2">
      <c r="A64" s="183" t="s">
        <v>239</v>
      </c>
      <c r="B64" s="184">
        <f>SUM([11]ing!$H$94)</f>
        <v>53857986264.730003</v>
      </c>
      <c r="C64" s="37">
        <f>SUM([17]Hoja2!$L$75)</f>
        <v>2029900374</v>
      </c>
      <c r="D64" s="37"/>
      <c r="E64" s="185">
        <f>SUM('[16]2EP_230 01'!$J$99)</f>
        <v>1305580252</v>
      </c>
      <c r="F64" s="186">
        <f t="shared" si="8"/>
        <v>57193466890.730003</v>
      </c>
      <c r="G64" s="187">
        <f>SUM([14]ictas!$G$313)</f>
        <v>125738295814</v>
      </c>
      <c r="H64" s="188">
        <f>SUM('[15] INGRESOS'!$G$63)</f>
        <v>285464090</v>
      </c>
      <c r="I64" s="189">
        <f t="shared" si="3"/>
        <v>183217226794.73001</v>
      </c>
      <c r="J64" s="87"/>
      <c r="K64" s="87"/>
    </row>
    <row r="65" spans="1:11" x14ac:dyDescent="0.2">
      <c r="A65" s="183" t="s">
        <v>240</v>
      </c>
      <c r="B65" s="184"/>
      <c r="C65" s="37"/>
      <c r="D65" s="37"/>
      <c r="E65" s="185"/>
      <c r="F65" s="186">
        <f t="shared" si="8"/>
        <v>0</v>
      </c>
      <c r="G65" s="187"/>
      <c r="H65" s="188"/>
      <c r="I65" s="189">
        <f t="shared" si="3"/>
        <v>0</v>
      </c>
      <c r="J65" s="87"/>
      <c r="K65" s="87"/>
    </row>
    <row r="66" spans="1:11" x14ac:dyDescent="0.2">
      <c r="A66" s="196" t="s">
        <v>241</v>
      </c>
      <c r="B66" s="177"/>
      <c r="C66" s="25"/>
      <c r="D66" s="25"/>
      <c r="E66" s="178"/>
      <c r="F66" s="186">
        <f t="shared" si="8"/>
        <v>0</v>
      </c>
      <c r="G66" s="180">
        <f>SUM([14]ictas!$G$8)</f>
        <v>1234762728742</v>
      </c>
      <c r="H66" s="181">
        <f>SUM('[15] INGRESOS'!$G$8)</f>
        <v>131602597502.58</v>
      </c>
      <c r="I66" s="182">
        <f t="shared" si="3"/>
        <v>1366365326244.5801</v>
      </c>
      <c r="J66" s="87"/>
      <c r="K66" s="87"/>
    </row>
    <row r="67" spans="1:11" ht="16.5" thickBot="1" x14ac:dyDescent="0.3">
      <c r="A67" s="197" t="s">
        <v>242</v>
      </c>
      <c r="B67" s="198">
        <f t="shared" ref="B67:H67" si="10">SUM(B6+B42+B49+B65+B66)</f>
        <v>11242516300088.021</v>
      </c>
      <c r="C67" s="199">
        <f t="shared" si="10"/>
        <v>2296103244304</v>
      </c>
      <c r="D67" s="199">
        <f t="shared" si="10"/>
        <v>2630000000</v>
      </c>
      <c r="E67" s="200">
        <f t="shared" si="10"/>
        <v>87635104548</v>
      </c>
      <c r="F67" s="201">
        <f t="shared" si="10"/>
        <v>13628884648940.02</v>
      </c>
      <c r="G67" s="202">
        <f t="shared" si="10"/>
        <v>4301368506036</v>
      </c>
      <c r="H67" s="202">
        <f t="shared" si="10"/>
        <v>1578449171856.1626</v>
      </c>
      <c r="I67" s="203">
        <f t="shared" si="3"/>
        <v>19508702326832.184</v>
      </c>
      <c r="J67" s="87"/>
      <c r="K67" s="87"/>
    </row>
    <row r="68" spans="1:11" s="83" customFormat="1" ht="15.75" x14ac:dyDescent="0.25">
      <c r="A68" s="204" t="s">
        <v>243</v>
      </c>
      <c r="B68" s="205">
        <f>SUM(anexo1!E19)-B67</f>
        <v>0</v>
      </c>
      <c r="C68" s="205">
        <f>SUM(anexo1!E68)-C67</f>
        <v>0</v>
      </c>
      <c r="D68" s="205">
        <f>SUM(anexo1!E9)-D67</f>
        <v>0</v>
      </c>
      <c r="E68" s="205">
        <f>SUM(anexo1!E78)-E67</f>
        <v>0</v>
      </c>
      <c r="F68" s="205">
        <f>SUM(anexo1!E88)-F67</f>
        <v>0</v>
      </c>
      <c r="G68" s="205">
        <f>SUM(anexo1!E97)-G67</f>
        <v>0</v>
      </c>
      <c r="H68" s="205">
        <f>SUM(anexo1!E109)-H67</f>
        <v>0</v>
      </c>
      <c r="I68" s="205">
        <f>+anexo1!E121-I67</f>
        <v>0</v>
      </c>
      <c r="J68" s="206"/>
      <c r="K68" s="206"/>
    </row>
    <row r="69" spans="1:11" s="83" customFormat="1" ht="15.75" x14ac:dyDescent="0.25">
      <c r="A69" s="207"/>
      <c r="B69" s="205"/>
      <c r="C69" s="205"/>
      <c r="D69" s="205"/>
      <c r="E69" s="205"/>
      <c r="F69" s="205"/>
      <c r="G69" s="205"/>
      <c r="H69" s="205"/>
      <c r="I69" s="205"/>
      <c r="J69" s="206"/>
      <c r="K69" s="206"/>
    </row>
    <row r="70" spans="1:11" s="83" customFormat="1" ht="15.75" x14ac:dyDescent="0.25">
      <c r="A70" s="207"/>
      <c r="B70" s="205"/>
      <c r="C70" s="205"/>
      <c r="D70" s="205"/>
      <c r="E70" s="205"/>
      <c r="F70" s="205"/>
      <c r="G70" s="205"/>
      <c r="H70" s="205"/>
      <c r="I70" s="205"/>
      <c r="J70" s="206"/>
      <c r="K70" s="206"/>
    </row>
    <row r="71" spans="1:11" s="83" customFormat="1" ht="15.75" x14ac:dyDescent="0.25">
      <c r="A71" s="207"/>
      <c r="B71" s="205"/>
      <c r="C71" s="205"/>
      <c r="D71" s="205"/>
      <c r="E71" s="205"/>
      <c r="F71" s="205"/>
      <c r="G71" s="205"/>
      <c r="H71" s="205"/>
      <c r="I71" s="205"/>
      <c r="J71" s="206"/>
      <c r="K71" s="206"/>
    </row>
    <row r="72" spans="1:11" s="83" customFormat="1" ht="15.75" x14ac:dyDescent="0.25">
      <c r="A72" s="207"/>
      <c r="B72" s="205"/>
      <c r="C72" s="205"/>
      <c r="D72" s="205"/>
      <c r="E72" s="205"/>
      <c r="F72" s="205"/>
      <c r="G72" s="205"/>
      <c r="H72" s="205"/>
      <c r="I72" s="205"/>
      <c r="J72" s="206"/>
      <c r="K72" s="206"/>
    </row>
    <row r="73" spans="1:11" ht="15.75" x14ac:dyDescent="0.25">
      <c r="A73" s="556" t="s">
        <v>391</v>
      </c>
      <c r="B73" s="550" t="s">
        <v>244</v>
      </c>
      <c r="C73" s="550"/>
      <c r="D73" s="550"/>
      <c r="E73" s="550"/>
      <c r="F73" s="550"/>
      <c r="G73" s="550"/>
      <c r="H73" s="550"/>
      <c r="I73" s="550"/>
      <c r="J73" s="89"/>
      <c r="K73" s="87"/>
    </row>
    <row r="74" spans="1:11" x14ac:dyDescent="0.2">
      <c r="A74" s="556"/>
      <c r="B74" s="567" t="s">
        <v>114</v>
      </c>
      <c r="C74" s="567"/>
      <c r="D74" s="567"/>
      <c r="E74" s="567"/>
      <c r="F74" s="567"/>
      <c r="G74" s="567"/>
      <c r="H74" s="567"/>
      <c r="I74" s="567"/>
      <c r="J74" s="208"/>
      <c r="K74" s="87"/>
    </row>
    <row r="75" spans="1:11" ht="20.25" customHeight="1" x14ac:dyDescent="0.2">
      <c r="A75" s="556" t="s">
        <v>392</v>
      </c>
      <c r="B75" s="565" t="s">
        <v>400</v>
      </c>
      <c r="C75" s="567"/>
      <c r="D75" s="567"/>
      <c r="E75" s="567"/>
      <c r="F75" s="567"/>
      <c r="G75" s="567"/>
      <c r="H75" s="567"/>
      <c r="I75" s="567"/>
      <c r="J75" s="208"/>
      <c r="K75" s="87"/>
    </row>
    <row r="76" spans="1:11" ht="15.75" thickBot="1" x14ac:dyDescent="0.25">
      <c r="A76" s="557"/>
      <c r="B76" s="568" t="s">
        <v>111</v>
      </c>
      <c r="C76" s="568"/>
      <c r="D76" s="568"/>
      <c r="E76" s="568"/>
      <c r="F76" s="568"/>
      <c r="G76" s="568"/>
      <c r="H76" s="568"/>
      <c r="I76" s="568"/>
      <c r="J76" s="87"/>
      <c r="K76" s="87"/>
    </row>
    <row r="77" spans="1:11" ht="51.75" thickBot="1" x14ac:dyDescent="0.25">
      <c r="A77" s="163" t="s">
        <v>181</v>
      </c>
      <c r="B77" s="164" t="s">
        <v>44</v>
      </c>
      <c r="C77" s="165" t="s">
        <v>182</v>
      </c>
      <c r="D77" s="165" t="s">
        <v>122</v>
      </c>
      <c r="E77" s="166" t="s">
        <v>183</v>
      </c>
      <c r="F77" s="168" t="s">
        <v>184</v>
      </c>
      <c r="G77" s="164" t="s">
        <v>185</v>
      </c>
      <c r="H77" s="166" t="s">
        <v>100</v>
      </c>
      <c r="I77" s="168" t="s">
        <v>187</v>
      </c>
      <c r="J77" s="87"/>
      <c r="K77" s="87"/>
    </row>
    <row r="78" spans="1:11" x14ac:dyDescent="0.2">
      <c r="A78" s="209" t="s">
        <v>245</v>
      </c>
      <c r="B78" s="210">
        <f t="shared" ref="B78:I78" si="11">SUM(B79+B83+B87+B89+B90)</f>
        <v>790179179811.16003</v>
      </c>
      <c r="C78" s="210">
        <f t="shared" si="11"/>
        <v>1007171758713</v>
      </c>
      <c r="D78" s="210">
        <f t="shared" si="11"/>
        <v>94154667957</v>
      </c>
      <c r="E78" s="211">
        <f t="shared" si="11"/>
        <v>202086716260</v>
      </c>
      <c r="F78" s="212">
        <f t="shared" si="11"/>
        <v>2093592322741.1602</v>
      </c>
      <c r="G78" s="246">
        <f>SUM(G79+G83+G87+G89+G88)</f>
        <v>1008795347370</v>
      </c>
      <c r="H78" s="247">
        <f>SUM(H79+H83+H87+H89+H90+H88)</f>
        <v>304516491910.72333</v>
      </c>
      <c r="I78" s="212">
        <f t="shared" si="11"/>
        <v>3252454814552.0937</v>
      </c>
      <c r="J78" s="48"/>
      <c r="K78" s="48"/>
    </row>
    <row r="79" spans="1:11" x14ac:dyDescent="0.2">
      <c r="A79" s="213" t="s">
        <v>246</v>
      </c>
      <c r="B79" s="214">
        <f t="shared" ref="B79:G79" si="12">SUM(B80:B82)</f>
        <v>763797999813.16003</v>
      </c>
      <c r="C79" s="185">
        <f t="shared" si="12"/>
        <v>262869969146</v>
      </c>
      <c r="D79" s="185">
        <f t="shared" si="12"/>
        <v>94154667957</v>
      </c>
      <c r="E79" s="185">
        <f t="shared" si="12"/>
        <v>150217415089</v>
      </c>
      <c r="F79" s="215">
        <f t="shared" si="12"/>
        <v>1271040052005.1602</v>
      </c>
      <c r="G79" s="216">
        <f t="shared" si="12"/>
        <v>681549552112</v>
      </c>
      <c r="H79" s="248">
        <f>SUM(H80:H82)</f>
        <v>262068625282.93335</v>
      </c>
      <c r="I79" s="189">
        <f t="shared" si="3"/>
        <v>2214658229400.0937</v>
      </c>
      <c r="J79" s="48"/>
      <c r="K79" s="48"/>
    </row>
    <row r="80" spans="1:11" x14ac:dyDescent="0.2">
      <c r="A80" s="213" t="s">
        <v>247</v>
      </c>
      <c r="B80" s="214">
        <f>SUM([11]ctas!$K$10+[11]ctas!$K$29)</f>
        <v>473179484951</v>
      </c>
      <c r="C80" s="185">
        <f>SUM([12]Hoja2!$M$7+[12]Hoja2!$M$29)</f>
        <v>154049819805</v>
      </c>
      <c r="D80" s="185">
        <f>SUM([12]con!$J$10+[12]con!$J$26)</f>
        <v>65932447191</v>
      </c>
      <c r="E80" s="185">
        <f>SUM([12]uni!$J$10+[12]uni!$J$29)</f>
        <v>99194150450</v>
      </c>
      <c r="F80" s="215">
        <f t="shared" ref="F80:F90" si="13">SUM(B80:E80)</f>
        <v>792355902397</v>
      </c>
      <c r="G80" s="185">
        <f>SUM([14]ctas!$N$11+[14]ctas!$N$37)</f>
        <v>244051551955</v>
      </c>
      <c r="H80" s="248">
        <f>SUM('[15]GASTOS '!$R$12+'[15]GASTOS '!$R$39)</f>
        <v>112199247690.33334</v>
      </c>
      <c r="I80" s="189">
        <f t="shared" si="3"/>
        <v>1148606702042.3333</v>
      </c>
      <c r="J80" s="48"/>
      <c r="K80" s="48"/>
    </row>
    <row r="81" spans="1:11" x14ac:dyDescent="0.2">
      <c r="A81" s="213" t="s">
        <v>248</v>
      </c>
      <c r="B81" s="214">
        <f>SUM([11]ctas!$K$54)</f>
        <v>141647600703.16</v>
      </c>
      <c r="C81" s="185">
        <f>SUM([12]Hoja2!$M$50)</f>
        <v>59798498228</v>
      </c>
      <c r="D81" s="185">
        <f>SUM([12]aud!$J$9+[12]con!$J$47)</f>
        <v>4703517730</v>
      </c>
      <c r="E81" s="185">
        <f>SUM([12]uni!$J$45)</f>
        <v>31317774760</v>
      </c>
      <c r="F81" s="215">
        <f t="shared" si="13"/>
        <v>237467391421.16</v>
      </c>
      <c r="G81" s="185">
        <f>SUM([14]ctas!$N$64)</f>
        <v>380116604358</v>
      </c>
      <c r="H81" s="248">
        <f>SUM('[15]GASTOS '!$R$61)</f>
        <v>132679026184</v>
      </c>
      <c r="I81" s="189">
        <f>SUM([6]gastos!$N$69)</f>
        <v>142870673.39300001</v>
      </c>
      <c r="J81" s="48"/>
      <c r="K81" s="48"/>
    </row>
    <row r="82" spans="1:11" x14ac:dyDescent="0.2">
      <c r="A82" s="213" t="s">
        <v>249</v>
      </c>
      <c r="B82" s="214">
        <f>SUM([11]ctas!$K$37)</f>
        <v>148970914159</v>
      </c>
      <c r="C82" s="185">
        <f>SUM([12]Hoja2!$M$35)</f>
        <v>49021651113</v>
      </c>
      <c r="D82" s="185">
        <f>SUM([12]con!$J$31)</f>
        <v>23518703036</v>
      </c>
      <c r="E82" s="185">
        <f>SUM([12]uni!$J$34)</f>
        <v>19705489879</v>
      </c>
      <c r="F82" s="215">
        <f t="shared" si="13"/>
        <v>241216758187</v>
      </c>
      <c r="G82" s="185">
        <f>SUM([14]ctas!$N$46)</f>
        <v>57381395799</v>
      </c>
      <c r="H82" s="248">
        <f>SUM('[15]GASTOS '!$R$44)</f>
        <v>17190351408.599998</v>
      </c>
      <c r="I82" s="189">
        <f t="shared" si="3"/>
        <v>315788505394.59998</v>
      </c>
      <c r="J82" s="48"/>
      <c r="K82" s="48"/>
    </row>
    <row r="83" spans="1:11" x14ac:dyDescent="0.2">
      <c r="A83" s="213" t="s">
        <v>250</v>
      </c>
      <c r="B83" s="214">
        <f>SUM(B84:B86)</f>
        <v>25833500966</v>
      </c>
      <c r="C83" s="37">
        <f>SUM(C84:C86)</f>
        <v>731686116589</v>
      </c>
      <c r="D83" s="37">
        <f>SUM(D84:D86)</f>
        <v>0</v>
      </c>
      <c r="E83" s="216">
        <f>SUM(E84:E86)</f>
        <v>51869301171</v>
      </c>
      <c r="F83" s="215">
        <f t="shared" si="13"/>
        <v>809388918726</v>
      </c>
      <c r="G83" s="214">
        <f>SUM(G84:G86)</f>
        <v>215244314416</v>
      </c>
      <c r="H83" s="248"/>
      <c r="I83" s="189">
        <f>SUM(F83:H83)</f>
        <v>1024633233142</v>
      </c>
      <c r="J83" s="48"/>
      <c r="K83" s="48"/>
    </row>
    <row r="84" spans="1:11" hidden="1" x14ac:dyDescent="0.2">
      <c r="A84" s="213" t="s">
        <v>173</v>
      </c>
      <c r="B84" s="214">
        <f>SUM([2]gastos!$N$116)</f>
        <v>0</v>
      </c>
      <c r="C84" s="185"/>
      <c r="D84" s="185"/>
      <c r="E84" s="185"/>
      <c r="F84" s="215">
        <f t="shared" si="13"/>
        <v>0</v>
      </c>
      <c r="G84" s="216"/>
      <c r="H84" s="248"/>
      <c r="I84" s="189">
        <f>SUM(F84:H84)</f>
        <v>0</v>
      </c>
      <c r="J84" s="48"/>
      <c r="K84" s="48"/>
    </row>
    <row r="85" spans="1:11" x14ac:dyDescent="0.2">
      <c r="A85" s="213" t="s">
        <v>251</v>
      </c>
      <c r="B85" s="214"/>
      <c r="C85" s="185"/>
      <c r="D85" s="185"/>
      <c r="E85" s="185"/>
      <c r="F85" s="215">
        <f t="shared" si="13"/>
        <v>0</v>
      </c>
      <c r="G85" s="216">
        <f>SUM([14]ctas!$N$175)</f>
        <v>200738776700</v>
      </c>
      <c r="H85" s="248"/>
      <c r="I85" s="189">
        <f>SUM(F85:H85)</f>
        <v>200738776700</v>
      </c>
      <c r="J85" s="48"/>
      <c r="K85" s="48"/>
    </row>
    <row r="86" spans="1:11" x14ac:dyDescent="0.2">
      <c r="A86" s="213" t="s">
        <v>226</v>
      </c>
      <c r="B86" s="214">
        <f>SUM([11]ctas!$K$97)</f>
        <v>25833500966</v>
      </c>
      <c r="C86" s="185">
        <f>SUM([12]Hoja2!$M$85)</f>
        <v>731686116589</v>
      </c>
      <c r="D86" s="185"/>
      <c r="E86" s="185">
        <f>SUM([12]uni!$J$76)</f>
        <v>51869301171</v>
      </c>
      <c r="F86" s="215">
        <f t="shared" si="13"/>
        <v>809388918726</v>
      </c>
      <c r="G86" s="216">
        <f>SUM([14]ctas!$N$179)</f>
        <v>14505537716</v>
      </c>
      <c r="H86" s="248"/>
      <c r="I86" s="189">
        <f>SUM(F86:H86)</f>
        <v>823894456442</v>
      </c>
      <c r="J86" s="48"/>
      <c r="K86" s="48"/>
    </row>
    <row r="87" spans="1:11" x14ac:dyDescent="0.2">
      <c r="A87" s="213" t="s">
        <v>252</v>
      </c>
      <c r="B87" s="214">
        <f>SUM([11]ctas!$K$124)</f>
        <v>547679032</v>
      </c>
      <c r="C87" s="185">
        <f>SUM([12]Hoja2!$M$90)</f>
        <v>287219796</v>
      </c>
      <c r="D87" s="185"/>
      <c r="E87" s="185"/>
      <c r="F87" s="215">
        <f t="shared" si="13"/>
        <v>834898828</v>
      </c>
      <c r="G87" s="216"/>
      <c r="H87" s="248"/>
      <c r="I87" s="189">
        <f t="shared" si="3"/>
        <v>834898828</v>
      </c>
      <c r="J87" s="48"/>
      <c r="K87" s="48"/>
    </row>
    <row r="88" spans="1:11" x14ac:dyDescent="0.2">
      <c r="A88" s="213" t="s">
        <v>253</v>
      </c>
      <c r="B88" s="214"/>
      <c r="C88" s="185"/>
      <c r="D88" s="185"/>
      <c r="E88" s="185"/>
      <c r="F88" s="215">
        <f t="shared" si="13"/>
        <v>0</v>
      </c>
      <c r="G88" s="216">
        <f>SUM([14]ctas!$N$184)</f>
        <v>112001480842</v>
      </c>
      <c r="H88" s="248">
        <f>SUM('[15]GASTOS '!$R$96)</f>
        <v>42447866627.790001</v>
      </c>
      <c r="I88" s="189">
        <f>SUM(F88:H88)</f>
        <v>154449347469.79001</v>
      </c>
      <c r="J88" s="48"/>
      <c r="K88" s="48"/>
    </row>
    <row r="89" spans="1:11" x14ac:dyDescent="0.2">
      <c r="A89" s="213" t="s">
        <v>254</v>
      </c>
      <c r="B89" s="214"/>
      <c r="C89" s="185"/>
      <c r="D89" s="185"/>
      <c r="E89" s="185"/>
      <c r="F89" s="215">
        <f t="shared" si="13"/>
        <v>0</v>
      </c>
      <c r="G89" s="216"/>
      <c r="H89" s="248"/>
      <c r="I89" s="189">
        <f>SUM(F89:H89)</f>
        <v>0</v>
      </c>
      <c r="J89" s="48"/>
      <c r="K89" s="48"/>
    </row>
    <row r="90" spans="1:11" x14ac:dyDescent="0.2">
      <c r="A90" s="213" t="s">
        <v>255</v>
      </c>
      <c r="B90" s="214"/>
      <c r="C90" s="185">
        <f>SUM([12]Hoja2!$M$91)</f>
        <v>12328453182</v>
      </c>
      <c r="D90" s="185"/>
      <c r="E90" s="185"/>
      <c r="F90" s="215">
        <f t="shared" si="13"/>
        <v>12328453182</v>
      </c>
      <c r="G90" s="216"/>
      <c r="H90" s="248"/>
      <c r="I90" s="189">
        <f t="shared" si="3"/>
        <v>12328453182</v>
      </c>
      <c r="J90" s="48"/>
      <c r="K90" s="48"/>
    </row>
    <row r="91" spans="1:11" s="17" customFormat="1" ht="15.75" x14ac:dyDescent="0.25">
      <c r="A91" s="217" t="s">
        <v>256</v>
      </c>
      <c r="B91" s="218">
        <f>SUM(B95:B98)</f>
        <v>0</v>
      </c>
      <c r="C91" s="178">
        <f>SUM(C95:C98)</f>
        <v>0</v>
      </c>
      <c r="D91" s="178">
        <f>SUM(D95:D98)</f>
        <v>0</v>
      </c>
      <c r="E91" s="178">
        <f>SUM(E95:E98)</f>
        <v>0</v>
      </c>
      <c r="F91" s="179">
        <f>SUM(F95:F98)</f>
        <v>0</v>
      </c>
      <c r="G91" s="219">
        <f>SUM(G92:G98)</f>
        <v>554789188739</v>
      </c>
      <c r="H91" s="249">
        <f>SUM(H92:H98)</f>
        <v>1170329526280.8486</v>
      </c>
      <c r="I91" s="179">
        <f t="shared" ref="I91:I96" si="14">SUM(I95:I98)</f>
        <v>1544470277438.23</v>
      </c>
      <c r="J91" s="220"/>
      <c r="K91" s="220"/>
    </row>
    <row r="92" spans="1:11" x14ac:dyDescent="0.2">
      <c r="A92" s="213" t="s">
        <v>247</v>
      </c>
      <c r="B92" s="214"/>
      <c r="C92" s="185"/>
      <c r="D92" s="185"/>
      <c r="E92" s="185"/>
      <c r="F92" s="186"/>
      <c r="G92" s="216"/>
      <c r="H92" s="248">
        <f>SUM('[15]GASTOS '!$R$101)</f>
        <v>243937910680.65201</v>
      </c>
      <c r="I92" s="186">
        <f t="shared" si="14"/>
        <v>1205158559069.23</v>
      </c>
      <c r="J92" s="48"/>
      <c r="K92" s="48"/>
    </row>
    <row r="93" spans="1:11" x14ac:dyDescent="0.2">
      <c r="A93" s="213" t="s">
        <v>257</v>
      </c>
      <c r="B93" s="214"/>
      <c r="C93" s="185"/>
      <c r="D93" s="185"/>
      <c r="E93" s="185"/>
      <c r="F93" s="186"/>
      <c r="G93" s="216">
        <f>SUM([14]ctas!$N$232)</f>
        <v>15012112846</v>
      </c>
      <c r="H93" s="248">
        <f>SUM('[15]GASTOS '!$R$149)</f>
        <v>165020923742</v>
      </c>
      <c r="I93" s="186">
        <f t="shared" si="14"/>
        <v>925828338448.22998</v>
      </c>
      <c r="J93" s="48"/>
      <c r="K93" s="48"/>
    </row>
    <row r="94" spans="1:11" x14ac:dyDescent="0.2">
      <c r="A94" s="213" t="s">
        <v>258</v>
      </c>
      <c r="B94" s="214"/>
      <c r="C94" s="185"/>
      <c r="D94" s="185"/>
      <c r="E94" s="185"/>
      <c r="F94" s="186"/>
      <c r="G94" s="216">
        <f>SUM([14]ctas!$N$237+[14]ctas!$N$246)</f>
        <v>129604094411</v>
      </c>
      <c r="H94" s="248">
        <f>SUM('[15]GASTOS '!$R$155)</f>
        <v>604120884309.96667</v>
      </c>
      <c r="I94" s="186">
        <f t="shared" si="14"/>
        <v>827928723478.22998</v>
      </c>
      <c r="J94" s="48"/>
      <c r="K94" s="48"/>
    </row>
    <row r="95" spans="1:11" x14ac:dyDescent="0.2">
      <c r="A95" s="213" t="s">
        <v>259</v>
      </c>
      <c r="B95" s="214"/>
      <c r="C95" s="185"/>
      <c r="D95" s="185"/>
      <c r="E95" s="185"/>
      <c r="F95" s="215">
        <f>SUM(B95:E95)</f>
        <v>0</v>
      </c>
      <c r="G95" s="216"/>
      <c r="H95" s="248">
        <f>SUM('[15]GASTOS '!$R$164)</f>
        <v>551824418</v>
      </c>
      <c r="I95" s="186">
        <f t="shared" si="14"/>
        <v>715136019531</v>
      </c>
      <c r="J95" s="48"/>
      <c r="K95" s="48"/>
    </row>
    <row r="96" spans="1:11" x14ac:dyDescent="0.2">
      <c r="A96" s="221" t="s">
        <v>260</v>
      </c>
      <c r="B96" s="214"/>
      <c r="C96" s="185"/>
      <c r="D96" s="185"/>
      <c r="E96" s="185"/>
      <c r="F96" s="215"/>
      <c r="G96" s="216">
        <f>SUM([14]ctas!$N$252)</f>
        <v>62872415843</v>
      </c>
      <c r="H96" s="248">
        <f>SUM('[15]GASTOS '!$R$166)</f>
        <v>13976009231</v>
      </c>
      <c r="I96" s="186">
        <f t="shared" si="14"/>
        <v>339311718369</v>
      </c>
      <c r="J96" s="48"/>
      <c r="K96" s="48"/>
    </row>
    <row r="97" spans="1:11" x14ac:dyDescent="0.2">
      <c r="A97" s="213" t="s">
        <v>261</v>
      </c>
      <c r="B97" s="214"/>
      <c r="C97" s="185"/>
      <c r="D97" s="185"/>
      <c r="E97" s="185"/>
      <c r="F97" s="215">
        <f>SUM(B97:E97)</f>
        <v>0</v>
      </c>
      <c r="G97" s="216">
        <f>SUM([14]ctas!$N$264)</f>
        <v>255611974759</v>
      </c>
      <c r="H97" s="248"/>
      <c r="I97" s="189">
        <f t="shared" si="3"/>
        <v>255611974759</v>
      </c>
      <c r="J97" s="48"/>
      <c r="K97" s="48"/>
    </row>
    <row r="98" spans="1:11" x14ac:dyDescent="0.2">
      <c r="A98" s="213" t="s">
        <v>253</v>
      </c>
      <c r="B98" s="214"/>
      <c r="C98" s="185"/>
      <c r="D98" s="185"/>
      <c r="E98" s="185"/>
      <c r="F98" s="215">
        <f>SUM(B98:E98)</f>
        <v>0</v>
      </c>
      <c r="G98" s="216">
        <f>SUM([14]ctas!$N$305)</f>
        <v>91688590880</v>
      </c>
      <c r="H98" s="248">
        <f>SUM('[15]GASTOS '!$R$168)</f>
        <v>142721973899.22998</v>
      </c>
      <c r="I98" s="189">
        <f t="shared" si="3"/>
        <v>234410564779.22998</v>
      </c>
      <c r="J98" s="48"/>
      <c r="K98" s="48"/>
    </row>
    <row r="99" spans="1:11" x14ac:dyDescent="0.2">
      <c r="A99" s="217" t="s">
        <v>161</v>
      </c>
      <c r="B99" s="218">
        <f t="shared" ref="B99:I99" si="15">SUM(B100:B109)+B112+B113+B114</f>
        <v>184226205008</v>
      </c>
      <c r="C99" s="178">
        <f t="shared" si="15"/>
        <v>120735505121</v>
      </c>
      <c r="D99" s="178">
        <f t="shared" si="15"/>
        <v>0</v>
      </c>
      <c r="E99" s="178">
        <f t="shared" si="15"/>
        <v>0</v>
      </c>
      <c r="F99" s="179">
        <f t="shared" si="15"/>
        <v>304961710129</v>
      </c>
      <c r="G99" s="219">
        <f t="shared" si="15"/>
        <v>70862591033</v>
      </c>
      <c r="H99" s="249">
        <f t="shared" si="15"/>
        <v>0</v>
      </c>
      <c r="I99" s="179">
        <f t="shared" si="15"/>
        <v>375824301162</v>
      </c>
      <c r="J99" s="48"/>
      <c r="K99" s="48"/>
    </row>
    <row r="100" spans="1:11" x14ac:dyDescent="0.2">
      <c r="A100" s="213" t="s">
        <v>162</v>
      </c>
      <c r="B100" s="214">
        <f>SUM([11]ctas!$K$131)</f>
        <v>25602567344</v>
      </c>
      <c r="C100" s="185"/>
      <c r="D100" s="185"/>
      <c r="E100" s="185"/>
      <c r="F100" s="215">
        <f t="shared" ref="F100:F108" si="16">SUM(B100:E100)</f>
        <v>25602567344</v>
      </c>
      <c r="G100" s="216">
        <f>SUM([14]ctas!$N$307)</f>
        <v>34378930404</v>
      </c>
      <c r="H100" s="248"/>
      <c r="I100" s="189">
        <f t="shared" si="3"/>
        <v>59981497748</v>
      </c>
      <c r="J100" s="48"/>
      <c r="K100" s="48"/>
    </row>
    <row r="101" spans="1:11" x14ac:dyDescent="0.2">
      <c r="A101" s="213" t="s">
        <v>163</v>
      </c>
      <c r="B101" s="214">
        <f>SUM([11]ctas!$K$134)</f>
        <v>157712359789</v>
      </c>
      <c r="C101" s="185"/>
      <c r="D101" s="185"/>
      <c r="E101" s="185"/>
      <c r="F101" s="215">
        <f t="shared" si="16"/>
        <v>157712359789</v>
      </c>
      <c r="G101" s="216"/>
      <c r="H101" s="248"/>
      <c r="I101" s="189">
        <f t="shared" si="3"/>
        <v>157712359789</v>
      </c>
      <c r="J101" s="48"/>
      <c r="K101" s="48"/>
    </row>
    <row r="102" spans="1:11" x14ac:dyDescent="0.2">
      <c r="A102" s="222" t="s">
        <v>262</v>
      </c>
      <c r="B102" s="214"/>
      <c r="C102" s="185">
        <f>SUM([12]Hoja2!$M$95)</f>
        <v>120735505121</v>
      </c>
      <c r="D102" s="185"/>
      <c r="E102" s="185"/>
      <c r="F102" s="215">
        <f t="shared" si="16"/>
        <v>120735505121</v>
      </c>
      <c r="G102" s="216">
        <f>SUM([14]ctas!$N$318)</f>
        <v>882355711</v>
      </c>
      <c r="H102" s="248"/>
      <c r="I102" s="189">
        <f t="shared" si="3"/>
        <v>121617860832</v>
      </c>
      <c r="J102" s="48"/>
      <c r="K102" s="48"/>
    </row>
    <row r="103" spans="1:11" hidden="1" x14ac:dyDescent="0.2">
      <c r="A103" s="222" t="s">
        <v>263</v>
      </c>
      <c r="B103" s="214"/>
      <c r="C103" s="185"/>
      <c r="D103" s="185"/>
      <c r="E103" s="185"/>
      <c r="F103" s="215">
        <f t="shared" si="16"/>
        <v>0</v>
      </c>
      <c r="G103" s="216"/>
      <c r="H103" s="248"/>
      <c r="I103" s="189">
        <f t="shared" si="3"/>
        <v>0</v>
      </c>
      <c r="J103" s="48"/>
      <c r="K103" s="48"/>
    </row>
    <row r="104" spans="1:11" hidden="1" x14ac:dyDescent="0.2">
      <c r="A104" s="222" t="s">
        <v>264</v>
      </c>
      <c r="B104" s="214"/>
      <c r="C104" s="185"/>
      <c r="D104" s="185"/>
      <c r="E104" s="185"/>
      <c r="F104" s="215">
        <f t="shared" si="16"/>
        <v>0</v>
      </c>
      <c r="G104" s="216"/>
      <c r="H104" s="248"/>
      <c r="I104" s="189">
        <f t="shared" si="3"/>
        <v>0</v>
      </c>
      <c r="J104" s="48"/>
      <c r="K104" s="48"/>
    </row>
    <row r="105" spans="1:11" x14ac:dyDescent="0.2">
      <c r="A105" s="213" t="s">
        <v>253</v>
      </c>
      <c r="B105" s="214"/>
      <c r="C105" s="185"/>
      <c r="D105" s="185"/>
      <c r="E105" s="185"/>
      <c r="F105" s="215">
        <f t="shared" si="16"/>
        <v>0</v>
      </c>
      <c r="G105" s="216">
        <f>SUM([14]ctas!$N$322)</f>
        <v>39368550</v>
      </c>
      <c r="H105" s="248"/>
      <c r="I105" s="189">
        <f t="shared" si="3"/>
        <v>39368550</v>
      </c>
      <c r="J105" s="48"/>
      <c r="K105" s="48"/>
    </row>
    <row r="106" spans="1:11" x14ac:dyDescent="0.2">
      <c r="A106" s="195" t="s">
        <v>167</v>
      </c>
      <c r="B106" s="214"/>
      <c r="C106" s="185"/>
      <c r="D106" s="185"/>
      <c r="E106" s="185"/>
      <c r="F106" s="215">
        <f>SUM(B106:E106)</f>
        <v>0</v>
      </c>
      <c r="G106" s="216">
        <f>SUM([14]ctas!$N$321)</f>
        <v>35561936368</v>
      </c>
      <c r="H106" s="248"/>
      <c r="I106" s="189">
        <f>SUM(F106:H106)</f>
        <v>35561936368</v>
      </c>
      <c r="J106" s="48"/>
      <c r="K106" s="48"/>
    </row>
    <row r="107" spans="1:11" hidden="1" x14ac:dyDescent="0.2">
      <c r="A107" s="195" t="s">
        <v>266</v>
      </c>
      <c r="B107" s="214"/>
      <c r="C107" s="185"/>
      <c r="D107" s="185"/>
      <c r="E107" s="185"/>
      <c r="F107" s="215">
        <f>SUM(B107:E107)</f>
        <v>0</v>
      </c>
      <c r="G107" s="216"/>
      <c r="H107" s="248"/>
      <c r="I107" s="189"/>
      <c r="J107" s="48"/>
      <c r="K107" s="48"/>
    </row>
    <row r="108" spans="1:11" hidden="1" x14ac:dyDescent="0.2">
      <c r="A108" s="267" t="s">
        <v>328</v>
      </c>
      <c r="B108" s="214"/>
      <c r="C108" s="185"/>
      <c r="D108" s="185"/>
      <c r="E108" s="185"/>
      <c r="F108" s="215">
        <f t="shared" si="16"/>
        <v>0</v>
      </c>
      <c r="G108" s="216"/>
      <c r="H108" s="248"/>
      <c r="I108" s="189">
        <f t="shared" si="3"/>
        <v>0</v>
      </c>
      <c r="J108" s="48"/>
      <c r="K108" s="48"/>
    </row>
    <row r="109" spans="1:11" ht="25.5" x14ac:dyDescent="0.2">
      <c r="A109" s="223" t="s">
        <v>265</v>
      </c>
      <c r="B109" s="218">
        <f t="shared" ref="B109:I109" si="17">SUM(B110:B111)</f>
        <v>911277875</v>
      </c>
      <c r="C109" s="178">
        <f t="shared" si="17"/>
        <v>0</v>
      </c>
      <c r="D109" s="178">
        <f t="shared" si="17"/>
        <v>0</v>
      </c>
      <c r="E109" s="178">
        <f t="shared" si="17"/>
        <v>0</v>
      </c>
      <c r="F109" s="179">
        <f t="shared" si="17"/>
        <v>911277875</v>
      </c>
      <c r="G109" s="219">
        <f t="shared" si="17"/>
        <v>0</v>
      </c>
      <c r="H109" s="249">
        <f t="shared" si="17"/>
        <v>0</v>
      </c>
      <c r="I109" s="179">
        <f t="shared" si="17"/>
        <v>911277875</v>
      </c>
      <c r="J109" s="48"/>
      <c r="K109" s="48"/>
    </row>
    <row r="110" spans="1:11" hidden="1" x14ac:dyDescent="0.2">
      <c r="A110" s="213" t="s">
        <v>173</v>
      </c>
      <c r="B110" s="214">
        <f>SUM([2]gastos!$N$301)</f>
        <v>0</v>
      </c>
      <c r="C110" s="185"/>
      <c r="D110" s="185"/>
      <c r="E110" s="185"/>
      <c r="F110" s="215">
        <f>SUM(B110:E110)</f>
        <v>0</v>
      </c>
      <c r="G110" s="216"/>
      <c r="H110" s="248"/>
      <c r="I110" s="189">
        <f t="shared" si="3"/>
        <v>0</v>
      </c>
      <c r="J110" s="48"/>
      <c r="K110" s="48"/>
    </row>
    <row r="111" spans="1:11" x14ac:dyDescent="0.2">
      <c r="A111" s="213" t="s">
        <v>226</v>
      </c>
      <c r="B111" s="214">
        <f>SUM([11]ctas!$K$139)</f>
        <v>911277875</v>
      </c>
      <c r="C111" s="185"/>
      <c r="D111" s="185"/>
      <c r="E111" s="185"/>
      <c r="F111" s="215">
        <f>SUM(B111:E111)</f>
        <v>911277875</v>
      </c>
      <c r="G111" s="216"/>
      <c r="H111" s="248"/>
      <c r="I111" s="189">
        <f t="shared" si="3"/>
        <v>911277875</v>
      </c>
      <c r="J111" s="48"/>
      <c r="K111" s="48"/>
    </row>
    <row r="112" spans="1:11" hidden="1" x14ac:dyDescent="0.2">
      <c r="A112" s="213" t="s">
        <v>253</v>
      </c>
      <c r="B112" s="214"/>
      <c r="C112" s="185"/>
      <c r="D112" s="185"/>
      <c r="E112" s="185"/>
      <c r="F112" s="215">
        <f>SUM(B112:E112)</f>
        <v>0</v>
      </c>
      <c r="G112" s="216"/>
      <c r="H112" s="248"/>
      <c r="I112" s="189">
        <f t="shared" si="3"/>
        <v>0</v>
      </c>
      <c r="J112" s="48"/>
      <c r="K112" s="48"/>
    </row>
    <row r="113" spans="1:11" hidden="1" x14ac:dyDescent="0.2">
      <c r="A113" s="213" t="s">
        <v>167</v>
      </c>
      <c r="B113" s="214">
        <f>SUM([2]gastos!$N$313)</f>
        <v>0</v>
      </c>
      <c r="C113" s="185"/>
      <c r="D113" s="185"/>
      <c r="E113" s="185"/>
      <c r="F113" s="215">
        <f>SUM(B113:E113)</f>
        <v>0</v>
      </c>
      <c r="G113" s="216"/>
      <c r="H113" s="248"/>
      <c r="I113" s="189">
        <f>SUM(F113:H113)</f>
        <v>0</v>
      </c>
      <c r="J113" s="48"/>
      <c r="K113" s="48"/>
    </row>
    <row r="114" spans="1:11" hidden="1" x14ac:dyDescent="0.2">
      <c r="A114" s="213" t="s">
        <v>266</v>
      </c>
      <c r="B114" s="214"/>
      <c r="C114" s="185"/>
      <c r="D114" s="185"/>
      <c r="E114" s="185"/>
      <c r="F114" s="215">
        <f>SUM(B114:E114)</f>
        <v>0</v>
      </c>
      <c r="G114" s="216"/>
      <c r="H114" s="248"/>
      <c r="I114" s="189">
        <f t="shared" ref="I114:I128" si="18">SUM(F114:H114)</f>
        <v>0</v>
      </c>
      <c r="J114" s="48"/>
      <c r="K114" s="48"/>
    </row>
    <row r="115" spans="1:11" x14ac:dyDescent="0.2">
      <c r="A115" s="217" t="s">
        <v>169</v>
      </c>
      <c r="B115" s="218">
        <f t="shared" ref="B115:H115" si="19">SUM(B116:B125)-B117</f>
        <v>5766026908345</v>
      </c>
      <c r="C115" s="178">
        <f t="shared" si="19"/>
        <v>3760206023264</v>
      </c>
      <c r="D115" s="178">
        <f t="shared" si="19"/>
        <v>7128498963</v>
      </c>
      <c r="E115" s="178">
        <f t="shared" si="19"/>
        <v>8881460305</v>
      </c>
      <c r="F115" s="224">
        <f t="shared" si="19"/>
        <v>9542242890877</v>
      </c>
      <c r="G115" s="178">
        <f>SUM(G116:G127)-G117</f>
        <v>2779622422253</v>
      </c>
      <c r="H115" s="249">
        <f t="shared" si="19"/>
        <v>31186385730</v>
      </c>
      <c r="I115" s="182">
        <f t="shared" si="18"/>
        <v>12353051698860</v>
      </c>
      <c r="J115" s="48"/>
      <c r="K115" s="48"/>
    </row>
    <row r="116" spans="1:11" x14ac:dyDescent="0.2">
      <c r="A116" s="213" t="s">
        <v>267</v>
      </c>
      <c r="B116" s="214">
        <f>SUM([11]ctas!$K$142)</f>
        <v>4047519528858</v>
      </c>
      <c r="C116" s="185">
        <f>SUM([12]Hoja2!$M$98)</f>
        <v>3625584540086</v>
      </c>
      <c r="D116" s="185">
        <f>SUM([12]con!$J$82)</f>
        <v>7128498963</v>
      </c>
      <c r="E116" s="185">
        <f>SUM([12]uni!$J$80)</f>
        <v>8803990305</v>
      </c>
      <c r="F116" s="215">
        <f>SUM(B116:E116)</f>
        <v>7689036558212</v>
      </c>
      <c r="G116" s="216">
        <f>SUM([14]ctas!$N$326)</f>
        <v>2034000542933</v>
      </c>
      <c r="H116" s="248">
        <f>SUM('[15]GASTOS '!$R$172)</f>
        <v>17113951998</v>
      </c>
      <c r="I116" s="189">
        <f t="shared" si="18"/>
        <v>9740151053143</v>
      </c>
      <c r="J116" s="48"/>
      <c r="K116" s="48"/>
    </row>
    <row r="117" spans="1:11" x14ac:dyDescent="0.2">
      <c r="A117" s="183" t="s">
        <v>2</v>
      </c>
      <c r="B117" s="214">
        <f t="shared" ref="B117:I117" si="20">SUM(B118:B120)</f>
        <v>1684147887021</v>
      </c>
      <c r="C117" s="185">
        <f t="shared" si="20"/>
        <v>3360880194</v>
      </c>
      <c r="D117" s="185">
        <f>SUM(D118:D120)</f>
        <v>0</v>
      </c>
      <c r="E117" s="185">
        <f t="shared" si="20"/>
        <v>77470000</v>
      </c>
      <c r="F117" s="186">
        <f t="shared" si="20"/>
        <v>1687586237215</v>
      </c>
      <c r="G117" s="216">
        <f t="shared" si="20"/>
        <v>85748521464</v>
      </c>
      <c r="H117" s="248">
        <f t="shared" si="20"/>
        <v>0</v>
      </c>
      <c r="I117" s="186">
        <f t="shared" si="20"/>
        <v>1773334758679</v>
      </c>
      <c r="J117" s="48"/>
      <c r="K117" s="48"/>
    </row>
    <row r="118" spans="1:11" hidden="1" x14ac:dyDescent="0.2">
      <c r="A118" s="213" t="s">
        <v>173</v>
      </c>
      <c r="B118" s="214"/>
      <c r="C118" s="185"/>
      <c r="D118" s="185"/>
      <c r="E118" s="185"/>
      <c r="F118" s="215">
        <f t="shared" ref="F118:F127" si="21">SUM(B118:E118)</f>
        <v>0</v>
      </c>
      <c r="G118" s="216"/>
      <c r="H118" s="185"/>
      <c r="I118" s="189">
        <f t="shared" si="18"/>
        <v>0</v>
      </c>
      <c r="J118" s="48"/>
      <c r="K118" s="48"/>
    </row>
    <row r="119" spans="1:11" x14ac:dyDescent="0.2">
      <c r="A119" s="213" t="s">
        <v>226</v>
      </c>
      <c r="B119" s="214">
        <f>SUM([11]ctas!$K$563)</f>
        <v>1684147887021</v>
      </c>
      <c r="C119" s="185">
        <f>SUM([12]Hoja2!$M$412)</f>
        <v>3360880194</v>
      </c>
      <c r="D119" s="185"/>
      <c r="E119" s="185">
        <f>SUM([12]uni!$J$102)</f>
        <v>77470000</v>
      </c>
      <c r="F119" s="215">
        <f t="shared" si="21"/>
        <v>1687586237215</v>
      </c>
      <c r="G119" s="216">
        <f>SUM([14]ctas!$N$1204)</f>
        <v>85748521464</v>
      </c>
      <c r="H119" s="185"/>
      <c r="I119" s="189">
        <f t="shared" si="18"/>
        <v>1773334758679</v>
      </c>
      <c r="J119" s="48"/>
      <c r="K119" s="48"/>
    </row>
    <row r="120" spans="1:11" hidden="1" x14ac:dyDescent="0.2">
      <c r="A120" s="213" t="s">
        <v>266</v>
      </c>
      <c r="B120" s="214"/>
      <c r="C120" s="185"/>
      <c r="D120" s="185"/>
      <c r="E120" s="185"/>
      <c r="F120" s="215">
        <f t="shared" si="21"/>
        <v>0</v>
      </c>
      <c r="G120" s="216"/>
      <c r="H120" s="185"/>
      <c r="I120" s="189">
        <f t="shared" si="18"/>
        <v>0</v>
      </c>
      <c r="J120" s="48"/>
      <c r="K120" s="48"/>
    </row>
    <row r="121" spans="1:11" ht="25.5" hidden="1" x14ac:dyDescent="0.2">
      <c r="A121" s="225" t="s">
        <v>268</v>
      </c>
      <c r="B121" s="214"/>
      <c r="C121" s="185"/>
      <c r="D121" s="185"/>
      <c r="E121" s="185"/>
      <c r="F121" s="215">
        <f t="shared" si="21"/>
        <v>0</v>
      </c>
      <c r="G121" s="216"/>
      <c r="H121" s="185"/>
      <c r="I121" s="189">
        <f t="shared" si="18"/>
        <v>0</v>
      </c>
      <c r="J121" s="48"/>
      <c r="K121" s="48"/>
    </row>
    <row r="122" spans="1:11" x14ac:dyDescent="0.2">
      <c r="A122" s="225" t="s">
        <v>236</v>
      </c>
      <c r="B122" s="214"/>
      <c r="C122" s="185"/>
      <c r="D122" s="185"/>
      <c r="E122" s="185"/>
      <c r="F122" s="215"/>
      <c r="G122" s="216">
        <f>SUM([14]ctas!$N$1284)</f>
        <v>6249089635</v>
      </c>
      <c r="H122" s="185"/>
      <c r="I122" s="189">
        <f t="shared" si="18"/>
        <v>6249089635</v>
      </c>
      <c r="J122" s="48"/>
      <c r="K122" s="48"/>
    </row>
    <row r="123" spans="1:11" x14ac:dyDescent="0.2">
      <c r="A123" s="213" t="s">
        <v>269</v>
      </c>
      <c r="B123" s="214">
        <f>SUM([11]ctas!$K$605)</f>
        <v>34359492466</v>
      </c>
      <c r="C123" s="185">
        <f>SUM([12]Hoja2!$M$416)</f>
        <v>131260602984</v>
      </c>
      <c r="D123" s="185"/>
      <c r="E123" s="185"/>
      <c r="F123" s="215">
        <f t="shared" si="21"/>
        <v>165620095450</v>
      </c>
      <c r="G123" s="216"/>
      <c r="H123" s="185"/>
      <c r="I123" s="189">
        <f t="shared" si="18"/>
        <v>165620095450</v>
      </c>
      <c r="J123" s="48"/>
      <c r="K123" s="48"/>
    </row>
    <row r="124" spans="1:11" ht="15.75" thickBot="1" x14ac:dyDescent="0.25">
      <c r="A124" s="213" t="s">
        <v>253</v>
      </c>
      <c r="B124" s="214"/>
      <c r="C124" s="185"/>
      <c r="D124" s="185"/>
      <c r="E124" s="185"/>
      <c r="F124" s="215">
        <f t="shared" si="21"/>
        <v>0</v>
      </c>
      <c r="G124" s="216">
        <f>SUM([14]ctas!$N$1270)</f>
        <v>653624268221</v>
      </c>
      <c r="H124" s="185">
        <f>SUM('[15]GASTOS '!$R$205)</f>
        <v>14072433732</v>
      </c>
      <c r="I124" s="189">
        <f t="shared" si="18"/>
        <v>667696701953</v>
      </c>
      <c r="J124" s="48"/>
      <c r="K124" s="48"/>
    </row>
    <row r="125" spans="1:11" hidden="1" x14ac:dyDescent="0.2">
      <c r="A125" s="213" t="s">
        <v>266</v>
      </c>
      <c r="B125" s="214"/>
      <c r="C125" s="185"/>
      <c r="D125" s="185"/>
      <c r="E125" s="185"/>
      <c r="F125" s="215">
        <f t="shared" si="21"/>
        <v>0</v>
      </c>
      <c r="G125" s="216"/>
      <c r="H125" s="185">
        <f>SUM([8]cons!$N$908)</f>
        <v>0</v>
      </c>
      <c r="I125" s="189">
        <f t="shared" si="18"/>
        <v>0</v>
      </c>
      <c r="J125" s="48"/>
      <c r="K125" s="48"/>
    </row>
    <row r="126" spans="1:11" hidden="1" x14ac:dyDescent="0.2">
      <c r="A126" s="226" t="s">
        <v>327</v>
      </c>
      <c r="B126" s="227"/>
      <c r="C126" s="228"/>
      <c r="D126" s="228"/>
      <c r="E126" s="228"/>
      <c r="F126" s="215">
        <f t="shared" si="21"/>
        <v>0</v>
      </c>
      <c r="G126" s="230"/>
      <c r="H126" s="228"/>
      <c r="I126" s="189">
        <f t="shared" si="18"/>
        <v>0</v>
      </c>
      <c r="J126" s="48"/>
      <c r="K126" s="48"/>
    </row>
    <row r="127" spans="1:11" ht="15.75" hidden="1" thickBot="1" x14ac:dyDescent="0.25">
      <c r="A127" s="226" t="s">
        <v>270</v>
      </c>
      <c r="B127" s="227"/>
      <c r="C127" s="228"/>
      <c r="D127" s="228"/>
      <c r="E127" s="228"/>
      <c r="F127" s="229">
        <f t="shared" si="21"/>
        <v>0</v>
      </c>
      <c r="G127" s="230"/>
      <c r="H127" s="228"/>
      <c r="I127" s="231">
        <f t="shared" si="18"/>
        <v>0</v>
      </c>
      <c r="J127" s="48"/>
      <c r="K127" s="48"/>
    </row>
    <row r="128" spans="1:11" ht="16.5" thickBot="1" x14ac:dyDescent="0.3">
      <c r="A128" s="232" t="s">
        <v>271</v>
      </c>
      <c r="B128" s="233">
        <f>SUM(B78+B99+B115+B127)</f>
        <v>6740432293164.1602</v>
      </c>
      <c r="C128" s="234">
        <f>SUM(C78+C99+C115+C127)</f>
        <v>4888113287098</v>
      </c>
      <c r="D128" s="234">
        <f>SUM(D78+D99+D115+D127)</f>
        <v>101283166920</v>
      </c>
      <c r="E128" s="234">
        <f>SUM(E78+E99+E115+E127)</f>
        <v>210968176565</v>
      </c>
      <c r="F128" s="235">
        <f>SUM(F78+F99+F115+F127)</f>
        <v>11940796923747.16</v>
      </c>
      <c r="G128" s="234">
        <f>SUM(G78+G91+G99+G115+G127)</f>
        <v>4414069549395</v>
      </c>
      <c r="H128" s="233">
        <f>SUM(H78+H91+H99+H115+H127)</f>
        <v>1506032403921.572</v>
      </c>
      <c r="I128" s="235">
        <f t="shared" si="18"/>
        <v>17860898877063.73</v>
      </c>
      <c r="J128" s="48"/>
      <c r="K128" s="48"/>
    </row>
    <row r="129" spans="1:9" x14ac:dyDescent="0.2">
      <c r="A129" s="236" t="s">
        <v>272</v>
      </c>
      <c r="B129" s="48"/>
      <c r="C129" s="237"/>
      <c r="D129" s="237"/>
      <c r="E129" s="237"/>
      <c r="F129" s="237"/>
      <c r="G129" s="237"/>
      <c r="H129" s="237"/>
      <c r="I129" s="48"/>
    </row>
    <row r="130" spans="1:9" x14ac:dyDescent="0.2">
      <c r="A130" s="238"/>
      <c r="B130" s="50"/>
      <c r="C130" s="50"/>
      <c r="D130" s="50"/>
      <c r="E130" s="50"/>
      <c r="F130" s="239"/>
      <c r="G130" s="50"/>
      <c r="H130" s="50"/>
      <c r="I130" s="50"/>
    </row>
    <row r="131" spans="1:9" x14ac:dyDescent="0.2">
      <c r="A131" s="240"/>
      <c r="B131" s="50"/>
      <c r="C131" s="50"/>
      <c r="D131" s="50"/>
      <c r="E131" s="50"/>
      <c r="F131" s="50"/>
      <c r="G131" s="50"/>
      <c r="H131" s="50"/>
      <c r="I131" s="50"/>
    </row>
    <row r="132" spans="1:9" x14ac:dyDescent="0.2">
      <c r="G132" s="87"/>
    </row>
  </sheetData>
  <mergeCells count="12">
    <mergeCell ref="A73:A74"/>
    <mergeCell ref="B76:I76"/>
    <mergeCell ref="A75:A76"/>
    <mergeCell ref="B73:I73"/>
    <mergeCell ref="B74:I74"/>
    <mergeCell ref="B75:I75"/>
    <mergeCell ref="B3:I3"/>
    <mergeCell ref="B4:I4"/>
    <mergeCell ref="A1:A2"/>
    <mergeCell ref="A3:A4"/>
    <mergeCell ref="B1:I1"/>
    <mergeCell ref="B2:I2"/>
  </mergeCells>
  <phoneticPr fontId="2" type="noConversion"/>
  <printOptions horizontalCentered="1" verticalCentered="1"/>
  <pageMargins left="0" right="0" top="0.86614173228346458" bottom="0" header="0" footer="0"/>
  <pageSetup scale="70" orientation="portrait"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zoomScale="180" zoomScaleNormal="180" workbookViewId="0">
      <selection sqref="A1:F1"/>
    </sheetView>
  </sheetViews>
  <sheetFormatPr baseColWidth="10" defaultRowHeight="15.75" x14ac:dyDescent="0.25"/>
  <cols>
    <col min="1" max="1" width="43.109375" style="241" customWidth="1"/>
    <col min="2" max="2" width="16.109375" style="241" customWidth="1"/>
    <col min="3" max="3" width="8.6640625" style="241" hidden="1" customWidth="1"/>
    <col min="4" max="4" width="14" style="241" customWidth="1"/>
    <col min="5" max="5" width="8.6640625" style="241" hidden="1" customWidth="1"/>
    <col min="6" max="6" width="7.5546875" style="456" customWidth="1"/>
    <col min="7" max="7" width="13.5546875" style="241" customWidth="1"/>
    <col min="8" max="8" width="11.88671875" style="241" bestFit="1" customWidth="1"/>
    <col min="9" max="9" width="14.77734375" style="241" bestFit="1" customWidth="1"/>
    <col min="10" max="16384" width="11.5546875" style="241"/>
  </cols>
  <sheetData>
    <row r="1" spans="1:8" ht="18" customHeight="1" x14ac:dyDescent="0.25">
      <c r="A1" s="570" t="s">
        <v>388</v>
      </c>
      <c r="B1" s="570"/>
      <c r="C1" s="570"/>
      <c r="D1" s="570"/>
      <c r="E1" s="570"/>
      <c r="F1" s="570"/>
    </row>
    <row r="2" spans="1:8" ht="19.5" customHeight="1" thickBot="1" x14ac:dyDescent="0.3">
      <c r="A2" s="571" t="s">
        <v>401</v>
      </c>
      <c r="B2" s="571"/>
      <c r="C2" s="571"/>
      <c r="D2" s="571"/>
      <c r="E2" s="571"/>
      <c r="F2" s="571"/>
      <c r="G2" s="255"/>
    </row>
    <row r="3" spans="1:8" ht="23.25" customHeight="1" x14ac:dyDescent="0.25">
      <c r="A3" s="574" t="s">
        <v>273</v>
      </c>
      <c r="B3" s="576" t="s">
        <v>311</v>
      </c>
      <c r="C3" s="572" t="s">
        <v>317</v>
      </c>
      <c r="D3" s="576" t="s">
        <v>312</v>
      </c>
      <c r="E3" s="584" t="s">
        <v>317</v>
      </c>
      <c r="F3" s="578" t="s">
        <v>107</v>
      </c>
      <c r="G3" s="250"/>
    </row>
    <row r="4" spans="1:8" ht="16.5" thickBot="1" x14ac:dyDescent="0.3">
      <c r="A4" s="586"/>
      <c r="B4" s="577"/>
      <c r="C4" s="573"/>
      <c r="D4" s="577"/>
      <c r="E4" s="585"/>
      <c r="F4" s="579"/>
      <c r="G4" s="250"/>
    </row>
    <row r="5" spans="1:8" x14ac:dyDescent="0.25">
      <c r="A5" s="364" t="s">
        <v>277</v>
      </c>
      <c r="B5" s="365">
        <f>SUM(B7:B11)</f>
        <v>20591300.009799339</v>
      </c>
      <c r="C5" s="366">
        <f t="shared" ref="C5:C11" si="0">SUM(B5/B$5)*100</f>
        <v>100</v>
      </c>
      <c r="D5" s="365">
        <f>SUM(D7:D11)</f>
        <v>20594413.344224002</v>
      </c>
      <c r="E5" s="466">
        <f t="shared" ref="E5:E11" si="1">SUM(D5/D$5)*100</f>
        <v>100</v>
      </c>
      <c r="F5" s="492">
        <v>100</v>
      </c>
      <c r="G5" s="242"/>
      <c r="H5" s="242"/>
    </row>
    <row r="6" spans="1:8" x14ac:dyDescent="0.25">
      <c r="A6" s="349" t="s">
        <v>278</v>
      </c>
      <c r="B6" s="350">
        <f>SUM(B7:B9)</f>
        <v>14730328.933000002</v>
      </c>
      <c r="C6" s="351">
        <f t="shared" si="0"/>
        <v>71.536663182945631</v>
      </c>
      <c r="D6" s="350">
        <f>SUM(D7:D9)</f>
        <v>14730328.933000002</v>
      </c>
      <c r="E6" s="463">
        <f t="shared" si="1"/>
        <v>71.525848718246365</v>
      </c>
      <c r="F6" s="490">
        <f t="shared" ref="F6:F11" si="2">SUM(D6/D$5)*100</f>
        <v>71.525848718246365</v>
      </c>
    </row>
    <row r="7" spans="1:8" x14ac:dyDescent="0.25">
      <c r="A7" s="349" t="s">
        <v>131</v>
      </c>
      <c r="B7" s="353">
        <f>SUM(anexo1!B19)/1000000</f>
        <v>12259035.845000001</v>
      </c>
      <c r="C7" s="351">
        <f t="shared" si="0"/>
        <v>59.535026147770964</v>
      </c>
      <c r="D7" s="353">
        <f>SUM(anexo1!B39)/1000000</f>
        <v>7962763.9649999999</v>
      </c>
      <c r="E7" s="463">
        <f t="shared" si="1"/>
        <v>38.664679745457626</v>
      </c>
      <c r="F7" s="490">
        <f t="shared" si="2"/>
        <v>38.664679745457626</v>
      </c>
    </row>
    <row r="8" spans="1:8" x14ac:dyDescent="0.25">
      <c r="A8" s="349" t="s">
        <v>279</v>
      </c>
      <c r="B8" s="353">
        <f>SUM(anexo1!B68)/1000000</f>
        <v>2371027.4920000001</v>
      </c>
      <c r="C8" s="351">
        <f t="shared" si="0"/>
        <v>11.514705195260305</v>
      </c>
      <c r="D8" s="353">
        <f>SUM(anexo1!B72)/1000000</f>
        <v>6404776.9970000004</v>
      </c>
      <c r="E8" s="463">
        <f t="shared" si="1"/>
        <v>31.099584581253982</v>
      </c>
      <c r="F8" s="490">
        <f t="shared" si="2"/>
        <v>31.099584581253982</v>
      </c>
    </row>
    <row r="9" spans="1:8" x14ac:dyDescent="0.25">
      <c r="A9" s="349" t="s">
        <v>280</v>
      </c>
      <c r="B9" s="353">
        <f>SUM(anexo1!B78+anexo1!B9)/1000000</f>
        <v>100265.59600000001</v>
      </c>
      <c r="C9" s="351">
        <f t="shared" si="0"/>
        <v>0.48693183991435168</v>
      </c>
      <c r="D9" s="353">
        <f>SUM(anexo1!B13+anexo1!B82)/1000000</f>
        <v>362787.97100000002</v>
      </c>
      <c r="E9" s="463">
        <f t="shared" si="1"/>
        <v>1.7615843915347513</v>
      </c>
      <c r="F9" s="490">
        <f t="shared" si="2"/>
        <v>1.7615843915347513</v>
      </c>
    </row>
    <row r="10" spans="1:8" ht="16.5" customHeight="1" x14ac:dyDescent="0.25">
      <c r="A10" s="349" t="s">
        <v>281</v>
      </c>
      <c r="B10" s="353">
        <f>SUM(anexo1!B97)/1000000</f>
        <v>4674170.0767989997</v>
      </c>
      <c r="C10" s="351">
        <f t="shared" si="0"/>
        <v>22.699732773426526</v>
      </c>
      <c r="D10" s="353">
        <f>SUM(anexo1!B102)/1000000</f>
        <v>4677283.4112240002</v>
      </c>
      <c r="E10" s="463">
        <f t="shared" si="1"/>
        <v>22.711418543688751</v>
      </c>
      <c r="F10" s="490">
        <f t="shared" si="2"/>
        <v>22.711418543688751</v>
      </c>
    </row>
    <row r="11" spans="1:8" x14ac:dyDescent="0.25">
      <c r="A11" s="349" t="s">
        <v>282</v>
      </c>
      <c r="B11" s="353">
        <f>SUM(anexo1!B109)/1000000</f>
        <v>1186801.0000003369</v>
      </c>
      <c r="C11" s="351">
        <f t="shared" si="0"/>
        <v>5.7636040436278524</v>
      </c>
      <c r="D11" s="353">
        <f>SUM(anexo1!B114)/1000000</f>
        <v>1186801</v>
      </c>
      <c r="E11" s="463">
        <f t="shared" si="1"/>
        <v>5.7627327380648863</v>
      </c>
      <c r="F11" s="490">
        <f t="shared" si="2"/>
        <v>5.7627327380648863</v>
      </c>
    </row>
    <row r="12" spans="1:8" x14ac:dyDescent="0.25">
      <c r="A12" s="354" t="s">
        <v>381</v>
      </c>
      <c r="B12" s="355"/>
      <c r="C12" s="355">
        <f>SUM(B5/B110)*100</f>
        <v>3.0986960429485171</v>
      </c>
      <c r="D12" s="356"/>
      <c r="E12" s="464">
        <f>SUM(D5/B110)*100</f>
        <v>3.0991645552356233</v>
      </c>
      <c r="F12" s="484"/>
    </row>
    <row r="13" spans="1:8" ht="16.5" thickBot="1" x14ac:dyDescent="0.3">
      <c r="A13" s="358" t="s">
        <v>382</v>
      </c>
      <c r="B13" s="359"/>
      <c r="C13" s="359">
        <f>SUM(B5/B111)*100</f>
        <v>12.78754201282228</v>
      </c>
      <c r="D13" s="360"/>
      <c r="E13" s="465">
        <f>SUM(D5/B111)*100</f>
        <v>12.789475445618482</v>
      </c>
      <c r="F13" s="493"/>
    </row>
    <row r="14" spans="1:8" ht="15" customHeight="1" thickBot="1" x14ac:dyDescent="0.3">
      <c r="A14" s="361"/>
      <c r="B14" s="362"/>
      <c r="C14" s="362"/>
      <c r="D14" s="363"/>
      <c r="E14" s="362"/>
    </row>
    <row r="15" spans="1:8" x14ac:dyDescent="0.25">
      <c r="A15" s="364" t="s">
        <v>387</v>
      </c>
      <c r="B15" s="365">
        <f>SUM(B17:B21)</f>
        <v>20498550.749011692</v>
      </c>
      <c r="C15" s="366">
        <f t="shared" ref="C15:C21" si="3">SUM(B15/B$15)*100</f>
        <v>100</v>
      </c>
      <c r="D15" s="365">
        <f>SUM(D17:D21)</f>
        <v>20502241.676672347</v>
      </c>
      <c r="E15" s="466">
        <f t="shared" ref="E15:E21" si="4">SUM(D15/D$15)*100</f>
        <v>100</v>
      </c>
      <c r="F15" s="489">
        <f>SUM(D15/D$15)*100</f>
        <v>100</v>
      </c>
    </row>
    <row r="16" spans="1:8" x14ac:dyDescent="0.25">
      <c r="A16" s="368" t="s">
        <v>278</v>
      </c>
      <c r="B16" s="369">
        <f>SUM(B17:B19)</f>
        <v>13953302.586687999</v>
      </c>
      <c r="C16" s="355">
        <f t="shared" si="3"/>
        <v>68.06970286599767</v>
      </c>
      <c r="D16" s="369">
        <f>SUM(D17:D19)</f>
        <v>13953302.586687999</v>
      </c>
      <c r="E16" s="464">
        <f t="shared" si="4"/>
        <v>68.057448579216612</v>
      </c>
      <c r="F16" s="490">
        <f t="shared" ref="F16:F21" si="5">SUM(D16/D$15)*100</f>
        <v>68.057448579216612</v>
      </c>
    </row>
    <row r="17" spans="1:7" x14ac:dyDescent="0.25">
      <c r="A17" s="349" t="s">
        <v>131</v>
      </c>
      <c r="B17" s="353">
        <f>SUM(anexo1!D19)/1000000</f>
        <v>11758537.500055</v>
      </c>
      <c r="C17" s="351">
        <f t="shared" si="3"/>
        <v>57.362774783587668</v>
      </c>
      <c r="D17" s="353">
        <f>SUM(anexo1!D39)/1000000</f>
        <v>7591629.3387240004</v>
      </c>
      <c r="E17" s="463">
        <f t="shared" si="4"/>
        <v>37.0282891912343</v>
      </c>
      <c r="F17" s="490">
        <f t="shared" si="5"/>
        <v>37.0282891912343</v>
      </c>
    </row>
    <row r="18" spans="1:7" x14ac:dyDescent="0.25">
      <c r="A18" s="349" t="s">
        <v>279</v>
      </c>
      <c r="B18" s="353">
        <f>SUM(anexo1!D68)/1000000</f>
        <v>2113928.4943349999</v>
      </c>
      <c r="C18" s="351">
        <f t="shared" si="3"/>
        <v>10.312575363099365</v>
      </c>
      <c r="D18" s="353">
        <f>SUM(anexo1!D72)/1000000</f>
        <v>6018314.2806660002</v>
      </c>
      <c r="E18" s="463">
        <f t="shared" si="4"/>
        <v>29.354420729093722</v>
      </c>
      <c r="F18" s="490">
        <f t="shared" si="5"/>
        <v>29.354420729093722</v>
      </c>
    </row>
    <row r="19" spans="1:7" x14ac:dyDescent="0.25">
      <c r="A19" s="349" t="s">
        <v>280</v>
      </c>
      <c r="B19" s="353">
        <f>SUM(anexo1!D78+anexo1!E9)/1000000</f>
        <v>80836.592298000003</v>
      </c>
      <c r="C19" s="351">
        <f t="shared" si="3"/>
        <v>0.39435271931064408</v>
      </c>
      <c r="D19" s="353">
        <f>SUM(anexo1!D13+anexo1!D82)/1000000</f>
        <v>343358.967298</v>
      </c>
      <c r="E19" s="463">
        <f t="shared" si="4"/>
        <v>1.6747386588885897</v>
      </c>
      <c r="F19" s="490">
        <f t="shared" si="5"/>
        <v>1.6747386588885897</v>
      </c>
    </row>
    <row r="20" spans="1:7" ht="18" customHeight="1" x14ac:dyDescent="0.25">
      <c r="A20" s="349" t="s">
        <v>281</v>
      </c>
      <c r="B20" s="353">
        <f>SUM(anexo1!D97)/1000000</f>
        <v>4892805.4182970002</v>
      </c>
      <c r="C20" s="351">
        <f t="shared" si="3"/>
        <v>23.869030929090925</v>
      </c>
      <c r="D20" s="353">
        <f>SUM(anexo1!D102)/1000000</f>
        <v>4896496.345958</v>
      </c>
      <c r="E20" s="463">
        <f t="shared" si="4"/>
        <v>23.882736449884316</v>
      </c>
      <c r="F20" s="490">
        <f t="shared" si="5"/>
        <v>23.882736449884316</v>
      </c>
    </row>
    <row r="21" spans="1:7" ht="16.5" thickBot="1" x14ac:dyDescent="0.3">
      <c r="A21" s="370" t="s">
        <v>282</v>
      </c>
      <c r="B21" s="371">
        <f>SUM(anexo1!D109)/1000000</f>
        <v>1652442.744026693</v>
      </c>
      <c r="C21" s="372">
        <f t="shared" si="3"/>
        <v>8.061266204911405</v>
      </c>
      <c r="D21" s="371">
        <f>SUM(anexo1!D114)/1000000</f>
        <v>1652442.7440263485</v>
      </c>
      <c r="E21" s="467">
        <f t="shared" si="4"/>
        <v>8.0598149708990796</v>
      </c>
      <c r="F21" s="491">
        <f t="shared" si="5"/>
        <v>8.0598149708990796</v>
      </c>
    </row>
    <row r="22" spans="1:7" ht="12.75" customHeight="1" thickBot="1" x14ac:dyDescent="0.3">
      <c r="A22" s="374"/>
      <c r="B22" s="375"/>
      <c r="C22" s="362"/>
      <c r="D22" s="376"/>
      <c r="E22" s="362"/>
    </row>
    <row r="23" spans="1:7" x14ac:dyDescent="0.25">
      <c r="A23" s="364" t="s">
        <v>313</v>
      </c>
      <c r="B23" s="365">
        <f>SUM(B25:B29)</f>
        <v>-92749.260787643958</v>
      </c>
      <c r="C23" s="366">
        <f t="shared" ref="C23:C29" si="6">SUM(B23/B$23)*100</f>
        <v>100</v>
      </c>
      <c r="D23" s="365">
        <f>SUM(D25:D29)</f>
        <v>-92171.667551651364</v>
      </c>
      <c r="E23" s="466">
        <f t="shared" ref="E23:E29" si="7">SUM(D23/D$23)*100</f>
        <v>100</v>
      </c>
      <c r="F23" s="488">
        <f>SUM(D23/D$5)*100</f>
        <v>-0.44755665534654437</v>
      </c>
    </row>
    <row r="24" spans="1:7" x14ac:dyDescent="0.25">
      <c r="A24" s="349" t="s">
        <v>278</v>
      </c>
      <c r="B24" s="350">
        <f>SUM(B25:B27)</f>
        <v>-777026.34631200065</v>
      </c>
      <c r="C24" s="351">
        <f t="shared" si="6"/>
        <v>837.77093177169115</v>
      </c>
      <c r="D24" s="350">
        <f>SUM(D25:D27)</f>
        <v>-777026.34631199972</v>
      </c>
      <c r="E24" s="463">
        <f t="shared" si="7"/>
        <v>843.0208186008656</v>
      </c>
      <c r="F24" s="475">
        <f t="shared" ref="F24:F29" si="8">SUM(D24/D$5)*100</f>
        <v>-3.7729957796050928</v>
      </c>
    </row>
    <row r="25" spans="1:7" x14ac:dyDescent="0.25">
      <c r="A25" s="349" t="s">
        <v>131</v>
      </c>
      <c r="B25" s="377">
        <f>SUM(B17-B7)</f>
        <v>-500498.34494500048</v>
      </c>
      <c r="C25" s="351">
        <f t="shared" si="6"/>
        <v>539.62515786613881</v>
      </c>
      <c r="D25" s="377">
        <f>SUM(D17-D7)</f>
        <v>-371134.62627599947</v>
      </c>
      <c r="E25" s="463">
        <f t="shared" si="7"/>
        <v>402.65586609683737</v>
      </c>
      <c r="F25" s="475">
        <f t="shared" si="8"/>
        <v>-1.8021131268596657</v>
      </c>
    </row>
    <row r="26" spans="1:7" x14ac:dyDescent="0.25">
      <c r="A26" s="349" t="s">
        <v>279</v>
      </c>
      <c r="B26" s="377">
        <f t="shared" ref="B26:D29" si="9">SUM(B18-B8)</f>
        <v>-257098.99766500015</v>
      </c>
      <c r="C26" s="351">
        <f t="shared" si="6"/>
        <v>277.19789406585852</v>
      </c>
      <c r="D26" s="377">
        <f t="shared" si="9"/>
        <v>-386462.71633400023</v>
      </c>
      <c r="E26" s="463">
        <f t="shared" si="7"/>
        <v>419.28580289320837</v>
      </c>
      <c r="F26" s="475">
        <f t="shared" si="8"/>
        <v>-1.8765415157717478</v>
      </c>
    </row>
    <row r="27" spans="1:7" x14ac:dyDescent="0.25">
      <c r="A27" s="349" t="s">
        <v>280</v>
      </c>
      <c r="B27" s="377">
        <f t="shared" si="9"/>
        <v>-19429.003702000002</v>
      </c>
      <c r="C27" s="351">
        <f t="shared" si="6"/>
        <v>20.947879839693915</v>
      </c>
      <c r="D27" s="377">
        <f t="shared" si="9"/>
        <v>-19429.003702000016</v>
      </c>
      <c r="E27" s="463">
        <f t="shared" si="7"/>
        <v>21.079149610819776</v>
      </c>
      <c r="F27" s="475">
        <f t="shared" si="8"/>
        <v>-9.4341136973679116E-2</v>
      </c>
    </row>
    <row r="28" spans="1:7" ht="17.25" customHeight="1" x14ac:dyDescent="0.25">
      <c r="A28" s="349" t="s">
        <v>281</v>
      </c>
      <c r="B28" s="377">
        <f t="shared" si="9"/>
        <v>218635.34149800055</v>
      </c>
      <c r="C28" s="351">
        <f t="shared" si="6"/>
        <v>-235.7273143109806</v>
      </c>
      <c r="D28" s="377">
        <f t="shared" si="9"/>
        <v>219212.93473399989</v>
      </c>
      <c r="E28" s="463">
        <f t="shared" si="7"/>
        <v>-237.83114763672563</v>
      </c>
      <c r="F28" s="475">
        <f t="shared" si="8"/>
        <v>1.0644291297352313</v>
      </c>
    </row>
    <row r="29" spans="1:7" ht="16.5" thickBot="1" x14ac:dyDescent="0.3">
      <c r="A29" s="370" t="s">
        <v>282</v>
      </c>
      <c r="B29" s="378">
        <f t="shared" si="9"/>
        <v>465641.74402635614</v>
      </c>
      <c r="C29" s="372">
        <f t="shared" si="6"/>
        <v>-502.04361746071066</v>
      </c>
      <c r="D29" s="378">
        <f t="shared" si="9"/>
        <v>465641.74402634846</v>
      </c>
      <c r="E29" s="467">
        <f t="shared" si="7"/>
        <v>-505.18967096413991</v>
      </c>
      <c r="F29" s="476">
        <f t="shared" si="8"/>
        <v>2.2610099945233175</v>
      </c>
    </row>
    <row r="30" spans="1:7" ht="13.5" customHeight="1" thickBot="1" x14ac:dyDescent="0.3">
      <c r="A30" s="361"/>
      <c r="B30" s="362"/>
      <c r="C30" s="362"/>
      <c r="D30" s="363"/>
      <c r="E30" s="362"/>
    </row>
    <row r="31" spans="1:7" ht="16.5" thickBot="1" x14ac:dyDescent="0.3">
      <c r="A31" s="379" t="s">
        <v>273</v>
      </c>
      <c r="B31" s="380" t="s">
        <v>8</v>
      </c>
      <c r="C31" s="381" t="s">
        <v>274</v>
      </c>
      <c r="D31" s="381" t="s">
        <v>119</v>
      </c>
      <c r="E31" s="382" t="s">
        <v>14</v>
      </c>
      <c r="F31" s="487"/>
    </row>
    <row r="32" spans="1:7" ht="15.75" customHeight="1" x14ac:dyDescent="0.25">
      <c r="A32" s="364" t="s">
        <v>283</v>
      </c>
      <c r="B32" s="499">
        <f>SUM(B33:B36)</f>
        <v>20498550.749011692</v>
      </c>
      <c r="C32" s="366">
        <f>SUM(B32/B32)*100</f>
        <v>100</v>
      </c>
      <c r="D32" s="499">
        <f>SUM(D33:D36)</f>
        <v>19508702.326832183</v>
      </c>
      <c r="E32" s="466">
        <f t="shared" ref="E32:E37" si="10">SUM(D32/B32)*100</f>
        <v>95.171129733514292</v>
      </c>
      <c r="F32" s="483">
        <f t="shared" ref="F32:F37" si="11">SUM(D32/B32)*100</f>
        <v>95.171129733514292</v>
      </c>
      <c r="G32" s="250"/>
    </row>
    <row r="33" spans="1:7" ht="15.75" customHeight="1" x14ac:dyDescent="0.25">
      <c r="A33" s="349" t="s">
        <v>188</v>
      </c>
      <c r="B33" s="350">
        <f>SUM(anexo1!D123)/1000000</f>
        <v>10411584.754830111</v>
      </c>
      <c r="C33" s="351">
        <f>SUM(B33/B32)*100</f>
        <v>50.79180905182816</v>
      </c>
      <c r="D33" s="350">
        <f>SUM(anexo2!I6)/1000000</f>
        <v>10806147.028687576</v>
      </c>
      <c r="E33" s="463">
        <f t="shared" si="10"/>
        <v>103.78964665945232</v>
      </c>
      <c r="F33" s="475">
        <f t="shared" si="11"/>
        <v>103.78964665945232</v>
      </c>
      <c r="G33" s="250"/>
    </row>
    <row r="34" spans="1:7" ht="15.75" customHeight="1" x14ac:dyDescent="0.25">
      <c r="A34" s="349" t="s">
        <v>135</v>
      </c>
      <c r="B34" s="350">
        <f>SUM(anexo1!D124)/1000000</f>
        <v>4165128.014434</v>
      </c>
      <c r="C34" s="351">
        <f>SUM(B34/B32)*100</f>
        <v>20.319134096027817</v>
      </c>
      <c r="D34" s="350">
        <f>SUM(anexo2!I42)/1000000</f>
        <v>3613745.1771485396</v>
      </c>
      <c r="E34" s="463">
        <f t="shared" si="10"/>
        <v>86.761923394078735</v>
      </c>
      <c r="F34" s="475">
        <f t="shared" si="11"/>
        <v>86.761923394078735</v>
      </c>
      <c r="G34" s="250"/>
    </row>
    <row r="35" spans="1:7" ht="15.75" customHeight="1" x14ac:dyDescent="0.25">
      <c r="A35" s="349" t="s">
        <v>284</v>
      </c>
      <c r="B35" s="350">
        <f>SUM(anexo1!D125)/1000000</f>
        <v>4555472.6535029998</v>
      </c>
      <c r="C35" s="351">
        <f>SUM(B35/B32)*100</f>
        <v>22.223388908226283</v>
      </c>
      <c r="D35" s="350">
        <f>SUM(anexo2!I49)/1000000</f>
        <v>3722444.7947514858</v>
      </c>
      <c r="E35" s="463">
        <f t="shared" si="10"/>
        <v>81.71368983828836</v>
      </c>
      <c r="F35" s="475">
        <f t="shared" si="11"/>
        <v>81.71368983828836</v>
      </c>
      <c r="G35" s="250"/>
    </row>
    <row r="36" spans="1:7" ht="15.75" customHeight="1" x14ac:dyDescent="0.25">
      <c r="A36" s="349" t="s">
        <v>285</v>
      </c>
      <c r="B36" s="350">
        <f>SUM(anexo1!D122)/1000000</f>
        <v>1366365.3262445801</v>
      </c>
      <c r="C36" s="351">
        <f>SUM(B36/B32)*100</f>
        <v>6.6656679439177307</v>
      </c>
      <c r="D36" s="350">
        <f>SUM(anexo2!I66)/1000000</f>
        <v>1366365.3262445801</v>
      </c>
      <c r="E36" s="463">
        <f t="shared" si="10"/>
        <v>100</v>
      </c>
      <c r="F36" s="475">
        <f t="shared" si="11"/>
        <v>100</v>
      </c>
      <c r="G36" s="250"/>
    </row>
    <row r="37" spans="1:7" ht="31.5" thickBot="1" x14ac:dyDescent="0.3">
      <c r="A37" s="370" t="s">
        <v>351</v>
      </c>
      <c r="B37" s="385"/>
      <c r="C37" s="386">
        <f>SUM(B37/B32)*100</f>
        <v>0</v>
      </c>
      <c r="D37" s="500">
        <f>SUM(anexo2!I7)/1000000</f>
        <v>6117305.7651509997</v>
      </c>
      <c r="E37" s="468" t="e">
        <f t="shared" si="10"/>
        <v>#DIV/0!</v>
      </c>
      <c r="F37" s="476" t="e">
        <f t="shared" si="11"/>
        <v>#DIV/0!</v>
      </c>
      <c r="G37" s="250"/>
    </row>
    <row r="38" spans="1:7" ht="15.75" customHeight="1" thickBot="1" x14ac:dyDescent="0.3">
      <c r="A38" s="387"/>
      <c r="B38" s="388"/>
      <c r="C38" s="389"/>
      <c r="D38" s="389"/>
      <c r="E38" s="388"/>
      <c r="F38" s="457"/>
      <c r="G38" s="250"/>
    </row>
    <row r="39" spans="1:7" ht="15.75" customHeight="1" x14ac:dyDescent="0.25">
      <c r="A39" s="574" t="s">
        <v>273</v>
      </c>
      <c r="B39" s="576" t="s">
        <v>8</v>
      </c>
      <c r="C39" s="572" t="s">
        <v>274</v>
      </c>
      <c r="D39" s="580" t="s">
        <v>275</v>
      </c>
      <c r="E39" s="469"/>
      <c r="F39" s="578" t="s">
        <v>107</v>
      </c>
      <c r="G39" s="250"/>
    </row>
    <row r="40" spans="1:7" ht="16.5" thickBot="1" x14ac:dyDescent="0.3">
      <c r="A40" s="586"/>
      <c r="B40" s="577"/>
      <c r="C40" s="573"/>
      <c r="D40" s="581"/>
      <c r="E40" s="482" t="s">
        <v>107</v>
      </c>
      <c r="F40" s="579"/>
    </row>
    <row r="41" spans="1:7" ht="17.25" customHeight="1" x14ac:dyDescent="0.25">
      <c r="A41" s="364" t="s">
        <v>286</v>
      </c>
      <c r="B41" s="499">
        <f>SUM(B42:B46)</f>
        <v>20502241.676672351</v>
      </c>
      <c r="C41" s="390">
        <f t="shared" ref="C41:C46" si="12">SUM(B41/B$41)*100</f>
        <v>100</v>
      </c>
      <c r="D41" s="499">
        <f>SUM(D42:D46)</f>
        <v>17860898.877063733</v>
      </c>
      <c r="E41" s="470">
        <f t="shared" ref="E41:E46" si="13">SUM(D41/D$41)*100</f>
        <v>100</v>
      </c>
      <c r="F41" s="483">
        <f t="shared" ref="F41:F46" si="14">SUM(D41/B41)*100</f>
        <v>87.116809755423162</v>
      </c>
      <c r="G41" s="251"/>
    </row>
    <row r="42" spans="1:7" x14ac:dyDescent="0.25">
      <c r="A42" s="349" t="s">
        <v>287</v>
      </c>
      <c r="B42" s="350">
        <f>SUM(anexo1!D127)/1000000</f>
        <v>3721423.4374525002</v>
      </c>
      <c r="C42" s="351">
        <f t="shared" si="12"/>
        <v>18.15130021458469</v>
      </c>
      <c r="D42" s="350">
        <f>SUM(anexo1!H127)/1000000</f>
        <v>3406904.1620218838</v>
      </c>
      <c r="E42" s="463">
        <f t="shared" si="13"/>
        <v>19.07465120020861</v>
      </c>
      <c r="F42" s="475">
        <f t="shared" si="14"/>
        <v>91.548414720418904</v>
      </c>
      <c r="G42" s="244"/>
    </row>
    <row r="43" spans="1:7" x14ac:dyDescent="0.25">
      <c r="A43" s="349" t="s">
        <v>288</v>
      </c>
      <c r="B43" s="350">
        <f>SUM(anexo1!D128)/1000000</f>
        <v>1792185.529257</v>
      </c>
      <c r="C43" s="351">
        <f t="shared" si="12"/>
        <v>8.7414125612233224</v>
      </c>
      <c r="D43" s="350">
        <f>SUM(anexo1!H128)/1000000</f>
        <v>1725118.7150198487</v>
      </c>
      <c r="E43" s="463">
        <f t="shared" si="13"/>
        <v>9.6586332350561523</v>
      </c>
      <c r="F43" s="475">
        <f t="shared" si="14"/>
        <v>96.257819676461978</v>
      </c>
      <c r="G43" s="244"/>
    </row>
    <row r="44" spans="1:7" x14ac:dyDescent="0.25">
      <c r="A44" s="349" t="s">
        <v>289</v>
      </c>
      <c r="B44" s="350">
        <f>SUM(anexo1!D129)/1000000</f>
        <v>557929.94720699999</v>
      </c>
      <c r="C44" s="351">
        <f t="shared" si="12"/>
        <v>2.7213119228899645</v>
      </c>
      <c r="D44" s="350">
        <f>SUM(anexo1!H129)/1000000</f>
        <v>375824.30116199999</v>
      </c>
      <c r="E44" s="463">
        <f t="shared" si="13"/>
        <v>2.1041735007224012</v>
      </c>
      <c r="F44" s="475">
        <f t="shared" si="14"/>
        <v>67.360481910565696</v>
      </c>
      <c r="G44" s="244"/>
    </row>
    <row r="45" spans="1:7" x14ac:dyDescent="0.25">
      <c r="A45" s="349" t="s">
        <v>290</v>
      </c>
      <c r="B45" s="350">
        <f>SUM(anexo1!D130)/1000000</f>
        <v>14249160.759072</v>
      </c>
      <c r="C45" s="351">
        <f t="shared" si="12"/>
        <v>69.500501378270414</v>
      </c>
      <c r="D45" s="350">
        <f>SUM(anexo1!H130)/1000000</f>
        <v>12353051.698860001</v>
      </c>
      <c r="E45" s="463">
        <f t="shared" si="13"/>
        <v>69.16254206401284</v>
      </c>
      <c r="F45" s="475">
        <f t="shared" si="14"/>
        <v>86.69318781455388</v>
      </c>
      <c r="G45" s="244"/>
    </row>
    <row r="46" spans="1:7" x14ac:dyDescent="0.25">
      <c r="A46" s="349" t="s">
        <v>270</v>
      </c>
      <c r="B46" s="350">
        <f>SUM(anexo1!D131)/1000000</f>
        <v>181542.00368384834</v>
      </c>
      <c r="C46" s="351">
        <f t="shared" si="12"/>
        <v>0.88547392303159023</v>
      </c>
      <c r="D46" s="350">
        <f>SUM(anexo1!H131)/1000000</f>
        <v>0</v>
      </c>
      <c r="E46" s="463">
        <f t="shared" si="13"/>
        <v>0</v>
      </c>
      <c r="F46" s="475">
        <f t="shared" si="14"/>
        <v>0</v>
      </c>
      <c r="G46" s="244"/>
    </row>
    <row r="47" spans="1:7" x14ac:dyDescent="0.25">
      <c r="A47" s="391" t="s">
        <v>383</v>
      </c>
      <c r="B47" s="350">
        <f>SUM(B41/B110)*100</f>
        <v>3.085294038008525</v>
      </c>
      <c r="C47" s="392">
        <f>SUM(B41/[19]pib!C12)*100</f>
        <v>4.0625206426150164</v>
      </c>
      <c r="D47" s="501"/>
      <c r="E47" s="471"/>
      <c r="F47" s="484"/>
      <c r="G47" s="243"/>
    </row>
    <row r="48" spans="1:7" x14ac:dyDescent="0.25">
      <c r="A48" s="391" t="s">
        <v>384</v>
      </c>
      <c r="B48" s="350">
        <f>SUM(B41/B111)*100</f>
        <v>12.732235297077704</v>
      </c>
      <c r="C48" s="392">
        <f>SUM(B41/[19]pib!B28)*100</f>
        <v>15.88711279391142</v>
      </c>
      <c r="D48" s="501"/>
      <c r="E48" s="471"/>
      <c r="F48" s="484"/>
      <c r="G48" s="243"/>
    </row>
    <row r="49" spans="1:7" x14ac:dyDescent="0.25">
      <c r="A49" s="349" t="s">
        <v>291</v>
      </c>
      <c r="B49" s="384"/>
      <c r="C49" s="351"/>
      <c r="D49" s="501">
        <f>SUM(anexo1!F126)/1000000</f>
        <v>14250477.337345351</v>
      </c>
      <c r="E49" s="472">
        <f>SUM(D49/B$41)*100</f>
        <v>69.506923009105307</v>
      </c>
      <c r="F49" s="485">
        <f>SUM(D49/B41)*100</f>
        <v>69.506923009105307</v>
      </c>
      <c r="G49" s="244"/>
    </row>
    <row r="50" spans="1:7" ht="30.75" x14ac:dyDescent="0.25">
      <c r="A50" s="349" t="s">
        <v>292</v>
      </c>
      <c r="B50" s="384"/>
      <c r="C50" s="351"/>
      <c r="D50" s="501">
        <f>SUM(anexo1!G126)/1000000</f>
        <v>3610421.5397183835</v>
      </c>
      <c r="E50" s="472">
        <f>SUM(D50/B$41)*100</f>
        <v>17.609886746317873</v>
      </c>
      <c r="F50" s="485">
        <f>SUM(D50/B41)*100</f>
        <v>17.609886746317873</v>
      </c>
      <c r="G50" s="244"/>
    </row>
    <row r="51" spans="1:7" ht="16.5" thickBot="1" x14ac:dyDescent="0.3">
      <c r="A51" s="393" t="s">
        <v>293</v>
      </c>
      <c r="B51" s="394"/>
      <c r="C51" s="359"/>
      <c r="D51" s="502">
        <f>SUM(D49:D50)</f>
        <v>17860898.877063733</v>
      </c>
      <c r="E51" s="473">
        <f>SUM(D51/B$41)*100</f>
        <v>87.116809755423162</v>
      </c>
      <c r="F51" s="486"/>
      <c r="G51" s="244"/>
    </row>
    <row r="52" spans="1:7" ht="18.75" customHeight="1" thickBot="1" x14ac:dyDescent="0.3">
      <c r="A52" s="374"/>
      <c r="B52" s="395"/>
      <c r="C52" s="362"/>
      <c r="D52" s="361"/>
      <c r="E52" s="361"/>
      <c r="F52" s="459"/>
      <c r="G52" s="244"/>
    </row>
    <row r="53" spans="1:7" x14ac:dyDescent="0.25">
      <c r="A53" s="574" t="s">
        <v>273</v>
      </c>
      <c r="B53" s="576" t="s">
        <v>8</v>
      </c>
      <c r="C53" s="572" t="s">
        <v>274</v>
      </c>
      <c r="D53" s="580" t="s">
        <v>275</v>
      </c>
      <c r="E53" s="469"/>
      <c r="F53" s="578" t="s">
        <v>107</v>
      </c>
      <c r="G53" s="250"/>
    </row>
    <row r="54" spans="1:7" ht="16.5" thickBot="1" x14ac:dyDescent="0.3">
      <c r="A54" s="575"/>
      <c r="B54" s="589"/>
      <c r="C54" s="590"/>
      <c r="D54" s="582"/>
      <c r="E54" s="481" t="s">
        <v>107</v>
      </c>
      <c r="F54" s="583"/>
      <c r="G54" s="250"/>
    </row>
    <row r="55" spans="1:7" s="261" customFormat="1" x14ac:dyDescent="0.25">
      <c r="A55" s="477" t="s">
        <v>330</v>
      </c>
      <c r="B55" s="503">
        <f>+B56</f>
        <v>11316634.783143001</v>
      </c>
      <c r="C55" s="478"/>
      <c r="D55" s="504">
        <f>SUM(D56)</f>
        <v>9740151.0531430002</v>
      </c>
      <c r="E55" s="479"/>
      <c r="F55" s="480">
        <f>SUM(D55/B55)*100</f>
        <v>86.069323962382398</v>
      </c>
      <c r="G55" s="250"/>
    </row>
    <row r="56" spans="1:7" x14ac:dyDescent="0.25">
      <c r="A56" s="368" t="s">
        <v>329</v>
      </c>
      <c r="B56" s="504">
        <f>SUM(B57:B59)</f>
        <v>11316634.783143001</v>
      </c>
      <c r="C56" s="355">
        <f>SUM(B56/B$56)*100</f>
        <v>100</v>
      </c>
      <c r="D56" s="504">
        <f>SUM(D57:D59)</f>
        <v>9740151.0531430002</v>
      </c>
      <c r="E56" s="464">
        <f>SUM(D56/B56)*100</f>
        <v>86.069323962382398</v>
      </c>
      <c r="F56" s="474">
        <f>SUM(D56/B56)*100</f>
        <v>86.069323962382398</v>
      </c>
      <c r="G56" s="244"/>
    </row>
    <row r="57" spans="1:7" ht="39" x14ac:dyDescent="0.25">
      <c r="A57" s="397" t="s">
        <v>349</v>
      </c>
      <c r="B57" s="505">
        <f>SUM('plan des'!B7)/1000000</f>
        <v>6663470.0464540003</v>
      </c>
      <c r="C57" s="351">
        <f>SUM(B57/B$56)*100</f>
        <v>58.882080884855917</v>
      </c>
      <c r="D57" s="505">
        <f>SUM('plan des'!H7)/1000000</f>
        <v>5757336.6981830001</v>
      </c>
      <c r="E57" s="463">
        <f>SUM(D57/B57)*100</f>
        <v>86.401479380053587</v>
      </c>
      <c r="F57" s="475">
        <f>SUM(D57/B57)*100</f>
        <v>86.401479380053587</v>
      </c>
      <c r="G57" s="244"/>
    </row>
    <row r="58" spans="1:7" ht="26.25" x14ac:dyDescent="0.25">
      <c r="A58" s="397" t="s">
        <v>352</v>
      </c>
      <c r="B58" s="505">
        <f>SUM('plan des'!B8)/1000000</f>
        <v>3896054.6636660001</v>
      </c>
      <c r="C58" s="351">
        <f>SUM(B58/B$56)*100</f>
        <v>34.427678707715067</v>
      </c>
      <c r="D58" s="505">
        <f>SUM('plan des'!H8)/1000000</f>
        <v>3267138.2231379999</v>
      </c>
      <c r="E58" s="463">
        <f>SUM(D58/B58)*100</f>
        <v>83.857607379250169</v>
      </c>
      <c r="F58" s="475">
        <f>SUM(D58/B58)*100</f>
        <v>83.857607379250169</v>
      </c>
      <c r="G58" s="244"/>
    </row>
    <row r="59" spans="1:7" ht="16.5" thickBot="1" x14ac:dyDescent="0.3">
      <c r="A59" s="398" t="s">
        <v>334</v>
      </c>
      <c r="B59" s="506">
        <f>SUM('plan des'!B9)/1000000</f>
        <v>757110.07302300003</v>
      </c>
      <c r="C59" s="372">
        <f>SUM(B59/B$56)*100</f>
        <v>6.690240407429016</v>
      </c>
      <c r="D59" s="506">
        <f>SUM('plan des'!H9)/1000000</f>
        <v>715676.13182200002</v>
      </c>
      <c r="E59" s="467">
        <f>SUM(D59/B59)*100</f>
        <v>94.527355707266977</v>
      </c>
      <c r="F59" s="476">
        <f>SUM(D59/B59)*100</f>
        <v>94.527355707266977</v>
      </c>
      <c r="G59" s="244"/>
    </row>
    <row r="60" spans="1:7" ht="17.25" customHeight="1" thickBot="1" x14ac:dyDescent="0.3">
      <c r="A60" s="400"/>
      <c r="B60" s="401"/>
      <c r="C60" s="402"/>
      <c r="D60" s="403"/>
      <c r="E60" s="403"/>
      <c r="F60" s="460"/>
      <c r="G60" s="245"/>
    </row>
    <row r="61" spans="1:7" x14ac:dyDescent="0.25">
      <c r="A61" s="364"/>
      <c r="B61" s="588" t="s">
        <v>456</v>
      </c>
      <c r="C61" s="588"/>
      <c r="D61" s="588"/>
      <c r="E61" s="404"/>
      <c r="F61" s="460"/>
      <c r="G61" s="245"/>
    </row>
    <row r="62" spans="1:7" x14ac:dyDescent="0.25">
      <c r="A62" s="368"/>
      <c r="B62" s="405" t="s">
        <v>315</v>
      </c>
      <c r="C62" s="405"/>
      <c r="D62" s="405" t="s">
        <v>316</v>
      </c>
      <c r="E62" s="406"/>
      <c r="F62" s="460"/>
      <c r="G62" s="245"/>
    </row>
    <row r="63" spans="1:7" x14ac:dyDescent="0.25">
      <c r="A63" s="368" t="s">
        <v>314</v>
      </c>
      <c r="B63" s="369">
        <f>SUM(B64:B66)</f>
        <v>5258224989.4868345</v>
      </c>
      <c r="C63" s="405"/>
      <c r="D63" s="369">
        <f>SUM(D64:D66)</f>
        <v>1647803449.7684522</v>
      </c>
      <c r="E63" s="406"/>
      <c r="F63" s="460"/>
      <c r="G63" s="245"/>
    </row>
    <row r="64" spans="1:7" x14ac:dyDescent="0.25">
      <c r="A64" s="349" t="s">
        <v>278</v>
      </c>
      <c r="B64" s="350">
        <f>SUM(anexo1!E88-anexo1!F92)/1000</f>
        <v>3942897379.9542909</v>
      </c>
      <c r="C64" s="407"/>
      <c r="D64" s="350">
        <f>SUM(anexo1!E88-anexo1!H92)/1000</f>
        <v>1688087725.1928613</v>
      </c>
      <c r="E64" s="408"/>
      <c r="F64" s="460"/>
      <c r="G64" s="245"/>
    </row>
    <row r="65" spans="1:7" ht="18" customHeight="1" x14ac:dyDescent="0.25">
      <c r="A65" s="349" t="s">
        <v>281</v>
      </c>
      <c r="B65" s="350">
        <f>SUM(anexo1!E97-anexo1!F102)/1000</f>
        <v>1088594640.3380001</v>
      </c>
      <c r="C65" s="407"/>
      <c r="D65" s="524">
        <f>SUM(anexo1!E97-anexo1!H102)/1000</f>
        <v>-112701043.359</v>
      </c>
      <c r="E65" s="408"/>
      <c r="F65" s="460"/>
      <c r="G65" s="245"/>
    </row>
    <row r="66" spans="1:7" ht="16.5" thickBot="1" x14ac:dyDescent="0.3">
      <c r="A66" s="370" t="s">
        <v>282</v>
      </c>
      <c r="B66" s="507">
        <f>SUM(anexo1!E109-anexo1!F114)/1000</f>
        <v>226732969.19454396</v>
      </c>
      <c r="C66" s="409"/>
      <c r="D66" s="507">
        <f>SUM(anexo1!E109-anexo1!H114)/1000</f>
        <v>72416767.934590816</v>
      </c>
      <c r="E66" s="410"/>
      <c r="F66" s="460"/>
      <c r="G66" s="245"/>
    </row>
    <row r="67" spans="1:7" ht="14.25" customHeight="1" x14ac:dyDescent="0.25">
      <c r="A67" s="400"/>
      <c r="B67" s="401"/>
      <c r="C67" s="402"/>
      <c r="D67" s="403"/>
      <c r="E67" s="403"/>
      <c r="F67" s="460"/>
      <c r="G67" s="245"/>
    </row>
    <row r="68" spans="1:7" hidden="1" x14ac:dyDescent="0.25">
      <c r="A68" s="574" t="s">
        <v>273</v>
      </c>
      <c r="B68" s="576" t="s">
        <v>8</v>
      </c>
      <c r="C68" s="572" t="s">
        <v>274</v>
      </c>
      <c r="D68" s="594" t="s">
        <v>275</v>
      </c>
      <c r="E68" s="595"/>
      <c r="F68" s="460"/>
      <c r="G68" s="245"/>
    </row>
    <row r="69" spans="1:7" ht="16.5" hidden="1" thickBot="1" x14ac:dyDescent="0.3">
      <c r="A69" s="591"/>
      <c r="B69" s="592"/>
      <c r="C69" s="593"/>
      <c r="D69" s="411" t="s">
        <v>276</v>
      </c>
      <c r="E69" s="412" t="s">
        <v>107</v>
      </c>
      <c r="F69" s="461"/>
      <c r="G69" s="254"/>
    </row>
    <row r="70" spans="1:7" ht="30.75" hidden="1" x14ac:dyDescent="0.25">
      <c r="A70" s="364" t="s">
        <v>295</v>
      </c>
      <c r="B70" s="383">
        <f>SUM(B71:B73)</f>
        <v>687402.28742399998</v>
      </c>
      <c r="C70" s="366">
        <f>SUM(B70/B$70)*100</f>
        <v>100</v>
      </c>
      <c r="D70" s="383">
        <f>SUM(D71:D73)</f>
        <v>379122.39729900006</v>
      </c>
      <c r="E70" s="367">
        <f>SUM(D70/B70)*100</f>
        <v>55.152914710211277</v>
      </c>
      <c r="F70" s="462"/>
      <c r="G70" s="252"/>
    </row>
    <row r="71" spans="1:7" hidden="1" x14ac:dyDescent="0.25">
      <c r="A71" s="349" t="s">
        <v>296</v>
      </c>
      <c r="B71" s="384">
        <f>SUM('[20]gas cta'!$F$306)/1000</f>
        <v>242140.42375899994</v>
      </c>
      <c r="C71" s="351">
        <f>SUM(B71/B$70)*100</f>
        <v>35.225431772478835</v>
      </c>
      <c r="D71" s="384">
        <f>SUM('[20]gas cta'!$N$306)/1000</f>
        <v>174305.76463800002</v>
      </c>
      <c r="E71" s="352">
        <f>SUM(D71/B71)*100</f>
        <v>71.985404969591073</v>
      </c>
      <c r="F71" s="459"/>
      <c r="G71" s="253"/>
    </row>
    <row r="72" spans="1:7" hidden="1" x14ac:dyDescent="0.25">
      <c r="A72" s="349" t="s">
        <v>297</v>
      </c>
      <c r="B72" s="384">
        <f>SUM('[20]gas cta'!$F$310)/1000</f>
        <v>163709.30300000001</v>
      </c>
      <c r="C72" s="351">
        <f>SUM(B72/B$70)*100</f>
        <v>23.81564711015017</v>
      </c>
      <c r="D72" s="384">
        <f>SUM('[20]gas cta'!$N$310)/1000</f>
        <v>121630.13143600001</v>
      </c>
      <c r="E72" s="352">
        <f>SUM(D72/B72)*100</f>
        <v>74.29640784433613</v>
      </c>
      <c r="F72" s="459"/>
      <c r="G72" s="253"/>
    </row>
    <row r="73" spans="1:7" ht="16.5" hidden="1" thickBot="1" x14ac:dyDescent="0.3">
      <c r="A73" s="413" t="s">
        <v>298</v>
      </c>
      <c r="B73" s="399">
        <f>SUM('[20]gas cta'!$F$305-'[20]gas cta'!$F$306-'[20]gas cta'!$F$310)/1000</f>
        <v>281552.56066499994</v>
      </c>
      <c r="C73" s="372">
        <f>SUM(B73/B$70)*100</f>
        <v>40.958921117370991</v>
      </c>
      <c r="D73" s="399">
        <f>SUM('[20]gas cta'!$N$305-'[20]gas cta'!$N$306-'[20]gas cta'!$N$310)/1000</f>
        <v>83186.501225000015</v>
      </c>
      <c r="E73" s="373">
        <f>SUM(D73/B73)*100</f>
        <v>29.545638309423129</v>
      </c>
      <c r="F73" s="459"/>
      <c r="G73" s="253"/>
    </row>
    <row r="74" spans="1:7" ht="30" hidden="1" customHeight="1" x14ac:dyDescent="0.25">
      <c r="A74" s="414"/>
      <c r="B74" s="395"/>
      <c r="C74" s="362"/>
      <c r="D74" s="395"/>
      <c r="E74" s="362"/>
      <c r="F74" s="459"/>
      <c r="G74" s="253"/>
    </row>
    <row r="75" spans="1:7" hidden="1" x14ac:dyDescent="0.25">
      <c r="A75" s="415" t="s">
        <v>322</v>
      </c>
      <c r="B75" s="383">
        <f>SUM(B76:B77)</f>
        <v>5883149.4000000004</v>
      </c>
      <c r="C75" s="416">
        <v>100</v>
      </c>
      <c r="D75" s="395"/>
      <c r="E75" s="362"/>
      <c r="F75" s="459"/>
      <c r="G75" s="253"/>
    </row>
    <row r="76" spans="1:7" hidden="1" x14ac:dyDescent="0.25">
      <c r="A76" s="417" t="s">
        <v>162</v>
      </c>
      <c r="B76" s="396">
        <f>SUM(B79+B82+B85)</f>
        <v>1814334.1</v>
      </c>
      <c r="C76" s="357">
        <f>SUM(B76/B75)*100</f>
        <v>30.839504092824839</v>
      </c>
      <c r="D76" s="395"/>
      <c r="E76" s="362"/>
      <c r="F76" s="459"/>
      <c r="G76" s="253"/>
    </row>
    <row r="77" spans="1:7" hidden="1" x14ac:dyDescent="0.25">
      <c r="A77" s="417" t="s">
        <v>163</v>
      </c>
      <c r="B77" s="396">
        <f>SUM(B80+B83+B86)</f>
        <v>4068815.3</v>
      </c>
      <c r="C77" s="357">
        <f>SUM(B77/B75)*100</f>
        <v>69.160495907175161</v>
      </c>
      <c r="D77" s="395"/>
      <c r="E77" s="362"/>
      <c r="F77" s="459"/>
      <c r="G77" s="253"/>
    </row>
    <row r="78" spans="1:7" hidden="1" x14ac:dyDescent="0.25">
      <c r="A78" s="417" t="s">
        <v>44</v>
      </c>
      <c r="B78" s="396">
        <f>SUM(B79:B80)</f>
        <v>1477069.7</v>
      </c>
      <c r="C78" s="357">
        <f>SUM(B78/B75)*100</f>
        <v>25.106785491458027</v>
      </c>
      <c r="D78" s="395"/>
      <c r="E78" s="362"/>
      <c r="F78" s="459"/>
      <c r="G78" s="253"/>
    </row>
    <row r="79" spans="1:7" hidden="1" x14ac:dyDescent="0.25">
      <c r="A79" s="418" t="s">
        <v>162</v>
      </c>
      <c r="B79" s="384">
        <v>300000</v>
      </c>
      <c r="C79" s="352">
        <f>SUM(B79/B78)*100</f>
        <v>20.310483655578341</v>
      </c>
      <c r="D79" s="395"/>
      <c r="E79" s="362"/>
      <c r="F79" s="459"/>
      <c r="G79" s="253"/>
    </row>
    <row r="80" spans="1:7" hidden="1" x14ac:dyDescent="0.25">
      <c r="A80" s="418" t="s">
        <v>163</v>
      </c>
      <c r="B80" s="384">
        <v>1177069.7</v>
      </c>
      <c r="C80" s="352">
        <f>SUM(B80/B78)*100</f>
        <v>79.689516344421662</v>
      </c>
      <c r="D80" s="395"/>
      <c r="E80" s="362"/>
      <c r="F80" s="459"/>
      <c r="G80" s="253"/>
    </row>
    <row r="81" spans="1:7" ht="30.75" hidden="1" x14ac:dyDescent="0.25">
      <c r="A81" s="417" t="s">
        <v>70</v>
      </c>
      <c r="B81" s="396">
        <f>SUM(B82:B83)</f>
        <v>516000</v>
      </c>
      <c r="C81" s="357">
        <f>SUM(B81/B75)*100</f>
        <v>8.7708124495359563</v>
      </c>
      <c r="D81" s="395"/>
      <c r="E81" s="362"/>
      <c r="F81" s="459"/>
      <c r="G81" s="253"/>
    </row>
    <row r="82" spans="1:7" hidden="1" x14ac:dyDescent="0.25">
      <c r="A82" s="418" t="s">
        <v>162</v>
      </c>
      <c r="B82" s="384">
        <v>516000</v>
      </c>
      <c r="C82" s="419">
        <f>SUM(B82/B81)*100</f>
        <v>100</v>
      </c>
      <c r="D82" s="395"/>
      <c r="E82" s="362"/>
      <c r="F82" s="459"/>
      <c r="G82" s="253"/>
    </row>
    <row r="83" spans="1:7" ht="15.75" hidden="1" customHeight="1" x14ac:dyDescent="0.25">
      <c r="A83" s="418" t="s">
        <v>163</v>
      </c>
      <c r="B83" s="384"/>
      <c r="C83" s="352"/>
      <c r="D83" s="395"/>
      <c r="E83" s="362"/>
      <c r="F83" s="459"/>
      <c r="G83" s="253"/>
    </row>
    <row r="84" spans="1:7" hidden="1" x14ac:dyDescent="0.25">
      <c r="A84" s="417" t="s">
        <v>323</v>
      </c>
      <c r="B84" s="396">
        <f>SUM(B85:B86)</f>
        <v>3890079.7</v>
      </c>
      <c r="C84" s="357">
        <f>SUM(B84/B75)*100</f>
        <v>66.122402059006021</v>
      </c>
      <c r="D84" s="395"/>
      <c r="E84" s="362"/>
      <c r="F84" s="459"/>
      <c r="G84" s="253"/>
    </row>
    <row r="85" spans="1:7" hidden="1" x14ac:dyDescent="0.25">
      <c r="A85" s="418" t="s">
        <v>162</v>
      </c>
      <c r="B85" s="384">
        <v>998334.1</v>
      </c>
      <c r="C85" s="352">
        <f>SUM(B85/B84)*100</f>
        <v>25.663589874521076</v>
      </c>
      <c r="D85" s="395"/>
      <c r="E85" s="362"/>
      <c r="F85" s="459"/>
      <c r="G85" s="253"/>
    </row>
    <row r="86" spans="1:7" hidden="1" x14ac:dyDescent="0.25">
      <c r="A86" s="418" t="s">
        <v>163</v>
      </c>
      <c r="B86" s="384">
        <v>2891745.6</v>
      </c>
      <c r="C86" s="352">
        <f>SUM(B86/B84)*100</f>
        <v>74.33641012547892</v>
      </c>
      <c r="D86" s="395"/>
      <c r="E86" s="362"/>
      <c r="F86" s="459"/>
      <c r="G86" s="253"/>
    </row>
    <row r="87" spans="1:7" hidden="1" x14ac:dyDescent="0.25">
      <c r="A87" s="418" t="s">
        <v>324</v>
      </c>
      <c r="B87" s="384"/>
      <c r="C87" s="352">
        <f>SUM(B78+B81)/B15*100</f>
        <v>9.722978587137888</v>
      </c>
      <c r="D87" s="395"/>
      <c r="E87" s="362"/>
      <c r="F87" s="459"/>
      <c r="G87" s="253"/>
    </row>
    <row r="88" spans="1:7" hidden="1" x14ac:dyDescent="0.25">
      <c r="A88" s="418" t="s">
        <v>379</v>
      </c>
      <c r="B88" s="384"/>
      <c r="C88" s="420">
        <f>SUM(B75/B110)*100</f>
        <v>0.88532981196812721</v>
      </c>
      <c r="D88" s="361"/>
      <c r="E88" s="361"/>
      <c r="F88" s="458"/>
      <c r="G88" s="243"/>
    </row>
    <row r="89" spans="1:7" hidden="1" x14ac:dyDescent="0.25">
      <c r="A89" s="418" t="s">
        <v>380</v>
      </c>
      <c r="B89" s="384"/>
      <c r="C89" s="420">
        <f>SUM(B75/B111)*100</f>
        <v>3.6535342637137038</v>
      </c>
      <c r="D89" s="361"/>
      <c r="E89" s="361"/>
      <c r="F89" s="458"/>
      <c r="G89" s="243"/>
    </row>
    <row r="90" spans="1:7" ht="33" hidden="1" customHeight="1" x14ac:dyDescent="0.25">
      <c r="A90" s="349" t="s">
        <v>318</v>
      </c>
      <c r="B90" s="384"/>
      <c r="C90" s="420">
        <v>2.4300000000000002</v>
      </c>
      <c r="D90" s="361"/>
      <c r="E90" s="361"/>
      <c r="F90" s="458"/>
      <c r="G90" s="243"/>
    </row>
    <row r="91" spans="1:7" ht="31.5" hidden="1" thickBot="1" x14ac:dyDescent="0.3">
      <c r="A91" s="370" t="s">
        <v>299</v>
      </c>
      <c r="B91" s="399"/>
      <c r="C91" s="421">
        <v>19.920000000000002</v>
      </c>
      <c r="D91" s="361"/>
      <c r="E91" s="361"/>
      <c r="F91" s="458"/>
      <c r="G91" s="243"/>
    </row>
    <row r="92" spans="1:7" hidden="1" x14ac:dyDescent="0.25">
      <c r="A92" s="374"/>
      <c r="B92" s="395"/>
      <c r="C92" s="422"/>
      <c r="D92" s="361"/>
      <c r="E92" s="361"/>
      <c r="F92" s="458"/>
      <c r="G92" s="243"/>
    </row>
    <row r="93" spans="1:7" ht="16.5" hidden="1" thickBot="1" x14ac:dyDescent="0.3">
      <c r="A93" s="400"/>
      <c r="B93" s="423" t="s">
        <v>300</v>
      </c>
      <c r="C93" s="424" t="s">
        <v>12</v>
      </c>
      <c r="D93" s="403"/>
      <c r="E93" s="403"/>
      <c r="F93" s="458"/>
      <c r="G93" s="243"/>
    </row>
    <row r="94" spans="1:7" hidden="1" x14ac:dyDescent="0.25">
      <c r="A94" s="364" t="s">
        <v>301</v>
      </c>
      <c r="B94" s="383">
        <f>(B95+B99)</f>
        <v>9455317.0899999999</v>
      </c>
      <c r="C94" s="367">
        <f>SUM(B94/B94)*100</f>
        <v>100</v>
      </c>
      <c r="D94" s="361"/>
      <c r="E94" s="361"/>
      <c r="F94" s="458"/>
      <c r="G94" s="243"/>
    </row>
    <row r="95" spans="1:7" hidden="1" x14ac:dyDescent="0.25">
      <c r="A95" s="368" t="s">
        <v>302</v>
      </c>
      <c r="B95" s="396">
        <f>SUM(B96:B98)</f>
        <v>5686750</v>
      </c>
      <c r="C95" s="425">
        <f>SUM(B95/B$94)*100</f>
        <v>60.143408686043344</v>
      </c>
      <c r="D95" s="361"/>
      <c r="E95" s="361"/>
      <c r="F95" s="458"/>
      <c r="G95" s="243"/>
    </row>
    <row r="96" spans="1:7" hidden="1" x14ac:dyDescent="0.25">
      <c r="A96" s="349" t="s">
        <v>319</v>
      </c>
      <c r="B96" s="426">
        <v>4984163</v>
      </c>
      <c r="C96" s="427">
        <f>SUM(B96/B$94)*100</f>
        <v>52.712806482939435</v>
      </c>
      <c r="D96" s="395"/>
      <c r="E96" s="361"/>
      <c r="F96" s="458"/>
      <c r="G96" s="243"/>
    </row>
    <row r="97" spans="1:7" hidden="1" x14ac:dyDescent="0.25">
      <c r="A97" s="349" t="s">
        <v>303</v>
      </c>
      <c r="B97" s="426">
        <v>695410</v>
      </c>
      <c r="C97" s="427">
        <f>SUM(B97/B$94)*100</f>
        <v>7.3546978211388572</v>
      </c>
      <c r="D97" s="395"/>
      <c r="E97" s="361"/>
      <c r="F97" s="458"/>
      <c r="G97" s="243"/>
    </row>
    <row r="98" spans="1:7" hidden="1" x14ac:dyDescent="0.25">
      <c r="A98" s="391" t="s">
        <v>320</v>
      </c>
      <c r="B98" s="426">
        <v>7177</v>
      </c>
      <c r="C98" s="427">
        <f>SUM(B98/B$94)*100</f>
        <v>7.5904381965047354E-2</v>
      </c>
      <c r="D98" s="361"/>
      <c r="E98" s="361"/>
      <c r="F98" s="458"/>
      <c r="G98" s="243"/>
    </row>
    <row r="99" spans="1:7" hidden="1" x14ac:dyDescent="0.25">
      <c r="A99" s="368" t="s">
        <v>304</v>
      </c>
      <c r="B99" s="396">
        <f>SUM(B100:B108)</f>
        <v>3768567.09</v>
      </c>
      <c r="C99" s="425">
        <f>SUM(B99/B$94)*100</f>
        <v>39.856591313956663</v>
      </c>
      <c r="D99" s="361"/>
      <c r="E99" s="361"/>
      <c r="F99" s="458"/>
      <c r="G99" s="243"/>
    </row>
    <row r="100" spans="1:7" hidden="1" x14ac:dyDescent="0.25">
      <c r="A100" s="349" t="s">
        <v>305</v>
      </c>
      <c r="B100" s="426">
        <v>3510474</v>
      </c>
      <c r="C100" s="427">
        <f t="shared" ref="C100:C107" si="15">SUM(B100/B$94)*100</f>
        <v>37.126983332084109</v>
      </c>
      <c r="D100" s="361"/>
      <c r="E100" s="361"/>
      <c r="F100" s="458"/>
      <c r="G100" s="243"/>
    </row>
    <row r="101" spans="1:7" hidden="1" x14ac:dyDescent="0.25">
      <c r="A101" s="349" t="s">
        <v>306</v>
      </c>
      <c r="B101" s="426">
        <v>42053</v>
      </c>
      <c r="C101" s="427">
        <f t="shared" si="15"/>
        <v>0.44475504734236254</v>
      </c>
      <c r="D101" s="361"/>
      <c r="E101" s="361"/>
      <c r="F101" s="458"/>
      <c r="G101" s="243"/>
    </row>
    <row r="102" spans="1:7" hidden="1" x14ac:dyDescent="0.25">
      <c r="A102" s="349" t="s">
        <v>325</v>
      </c>
      <c r="B102" s="426">
        <v>40085</v>
      </c>
      <c r="C102" s="427">
        <f t="shared" si="15"/>
        <v>0.42394136144195665</v>
      </c>
      <c r="D102" s="361"/>
      <c r="E102" s="361"/>
      <c r="F102" s="458"/>
      <c r="G102" s="243"/>
    </row>
    <row r="103" spans="1:7" hidden="1" x14ac:dyDescent="0.25">
      <c r="A103" s="349" t="s">
        <v>307</v>
      </c>
      <c r="B103" s="426">
        <v>12805</v>
      </c>
      <c r="C103" s="427">
        <f t="shared" si="15"/>
        <v>0.13542644713145205</v>
      </c>
      <c r="D103" s="361"/>
      <c r="E103" s="361"/>
      <c r="F103" s="458"/>
      <c r="G103" s="243"/>
    </row>
    <row r="104" spans="1:7" hidden="1" x14ac:dyDescent="0.25">
      <c r="A104" s="349" t="s">
        <v>308</v>
      </c>
      <c r="B104" s="426">
        <v>76426</v>
      </c>
      <c r="C104" s="427">
        <f t="shared" si="15"/>
        <v>0.80828595458558006</v>
      </c>
      <c r="D104" s="361"/>
      <c r="E104" s="361"/>
      <c r="F104" s="458"/>
      <c r="G104" s="243"/>
    </row>
    <row r="105" spans="1:7" ht="14.25" hidden="1" customHeight="1" x14ac:dyDescent="0.25">
      <c r="A105" s="349" t="s">
        <v>309</v>
      </c>
      <c r="B105" s="426">
        <v>65912.09</v>
      </c>
      <c r="C105" s="427">
        <f t="shared" si="15"/>
        <v>0.69709021255044978</v>
      </c>
      <c r="D105" s="361"/>
      <c r="E105" s="361"/>
      <c r="F105" s="242"/>
      <c r="G105" s="242"/>
    </row>
    <row r="106" spans="1:7" hidden="1" x14ac:dyDescent="0.25">
      <c r="A106" s="349" t="s">
        <v>326</v>
      </c>
      <c r="B106" s="426"/>
      <c r="C106" s="427">
        <f t="shared" si="15"/>
        <v>0</v>
      </c>
      <c r="D106" s="361"/>
      <c r="E106" s="361"/>
    </row>
    <row r="107" spans="1:7" hidden="1" x14ac:dyDescent="0.25">
      <c r="A107" s="349" t="s">
        <v>321</v>
      </c>
      <c r="B107" s="426">
        <v>4159</v>
      </c>
      <c r="C107" s="427">
        <f t="shared" si="15"/>
        <v>4.3985833160461466E-2</v>
      </c>
      <c r="D107" s="428"/>
      <c r="E107" s="428"/>
    </row>
    <row r="108" spans="1:7" ht="16.5" hidden="1" thickBot="1" x14ac:dyDescent="0.3">
      <c r="A108" s="370" t="s">
        <v>298</v>
      </c>
      <c r="B108" s="429">
        <v>16653</v>
      </c>
      <c r="C108" s="430">
        <f>SUM(B108/B$94)*100</f>
        <v>0.17612312566029448</v>
      </c>
      <c r="D108" s="403"/>
      <c r="E108" s="403"/>
    </row>
    <row r="109" spans="1:7" hidden="1" x14ac:dyDescent="0.25">
      <c r="A109" s="374"/>
      <c r="B109" s="431"/>
      <c r="C109" s="362"/>
      <c r="D109" s="432"/>
      <c r="E109" s="403"/>
    </row>
    <row r="110" spans="1:7" x14ac:dyDescent="0.25">
      <c r="A110" s="433" t="s">
        <v>385</v>
      </c>
      <c r="B110" s="432">
        <v>664515000</v>
      </c>
      <c r="C110" s="434"/>
      <c r="D110" s="432"/>
      <c r="E110" s="403"/>
    </row>
    <row r="111" spans="1:7" x14ac:dyDescent="0.25">
      <c r="A111" s="435" t="s">
        <v>386</v>
      </c>
      <c r="B111" s="432">
        <v>161026255</v>
      </c>
      <c r="C111" s="436"/>
      <c r="D111" s="432"/>
      <c r="E111" s="403"/>
    </row>
    <row r="112" spans="1:7" ht="15.75" customHeight="1" x14ac:dyDescent="0.25">
      <c r="A112" s="403"/>
      <c r="B112" s="437" t="s">
        <v>310</v>
      </c>
      <c r="C112" s="403"/>
      <c r="D112" s="403"/>
      <c r="E112" s="403"/>
    </row>
    <row r="113" spans="1:6" hidden="1" x14ac:dyDescent="0.25">
      <c r="A113" s="438" t="s">
        <v>294</v>
      </c>
      <c r="B113" s="438"/>
      <c r="C113" s="438"/>
      <c r="D113" s="438"/>
      <c r="E113" s="438"/>
    </row>
    <row r="114" spans="1:6" ht="15.75" customHeight="1" x14ac:dyDescent="0.25">
      <c r="A114" s="587" t="s">
        <v>402</v>
      </c>
      <c r="B114" s="587"/>
      <c r="C114" s="587"/>
      <c r="D114" s="587"/>
      <c r="E114" s="587"/>
      <c r="F114" s="587"/>
    </row>
  </sheetData>
  <mergeCells count="24">
    <mergeCell ref="A114:F114"/>
    <mergeCell ref="B61:D61"/>
    <mergeCell ref="B53:B54"/>
    <mergeCell ref="C53:C54"/>
    <mergeCell ref="A68:A69"/>
    <mergeCell ref="B68:B69"/>
    <mergeCell ref="C68:C69"/>
    <mergeCell ref="D68:E68"/>
    <mergeCell ref="A1:F1"/>
    <mergeCell ref="A2:F2"/>
    <mergeCell ref="C39:C40"/>
    <mergeCell ref="A53:A54"/>
    <mergeCell ref="D3:D4"/>
    <mergeCell ref="F3:F4"/>
    <mergeCell ref="D39:D40"/>
    <mergeCell ref="D53:D54"/>
    <mergeCell ref="F39:F40"/>
    <mergeCell ref="F53:F54"/>
    <mergeCell ref="E3:E4"/>
    <mergeCell ref="A3:A4"/>
    <mergeCell ref="B3:B4"/>
    <mergeCell ref="C3:C4"/>
    <mergeCell ref="A39:A40"/>
    <mergeCell ref="B39:B40"/>
  </mergeCells>
  <phoneticPr fontId="2" type="noConversion"/>
  <printOptions horizontalCentered="1" verticalCentered="1"/>
  <pageMargins left="0" right="0" top="0" bottom="0" header="0" footer="0"/>
  <pageSetup scale="64" orientation="portrait"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activeCell="J56" sqref="J56"/>
    </sheetView>
  </sheetViews>
  <sheetFormatPr baseColWidth="10" defaultRowHeight="12.75" x14ac:dyDescent="0.2"/>
  <cols>
    <col min="1" max="1" width="20.21875" style="302" bestFit="1" customWidth="1"/>
    <col min="2" max="2" width="12.33203125" style="302" hidden="1" customWidth="1"/>
    <col min="3" max="3" width="10.6640625" style="302" hidden="1" customWidth="1"/>
    <col min="4" max="4" width="14.33203125" style="302" bestFit="1" customWidth="1"/>
    <col min="5" max="5" width="6" style="302" hidden="1" customWidth="1"/>
    <col min="6" max="6" width="11" style="302" hidden="1" customWidth="1"/>
    <col min="7" max="7" width="14.21875" style="302" hidden="1" customWidth="1"/>
    <col min="8" max="8" width="12" style="302" hidden="1" customWidth="1"/>
    <col min="9" max="9" width="6.6640625" style="302" hidden="1" customWidth="1"/>
    <col min="10" max="10" width="21.44140625" style="302" customWidth="1"/>
    <col min="11" max="11" width="6.6640625" style="302" hidden="1" customWidth="1"/>
    <col min="12" max="16384" width="11.5546875" style="302"/>
  </cols>
  <sheetData>
    <row r="1" spans="1:11" x14ac:dyDescent="0.2">
      <c r="A1" s="599" t="s">
        <v>114</v>
      </c>
      <c r="B1" s="599"/>
      <c r="C1" s="599"/>
      <c r="D1" s="599"/>
      <c r="E1" s="599"/>
      <c r="F1" s="599"/>
      <c r="G1" s="599"/>
      <c r="H1" s="599"/>
      <c r="I1" s="599"/>
      <c r="J1" s="599"/>
      <c r="K1" s="599"/>
    </row>
    <row r="2" spans="1:11" x14ac:dyDescent="0.2">
      <c r="A2" s="599" t="s">
        <v>346</v>
      </c>
      <c r="B2" s="599"/>
      <c r="C2" s="599"/>
      <c r="D2" s="599"/>
      <c r="E2" s="599"/>
      <c r="F2" s="599"/>
      <c r="G2" s="599"/>
      <c r="H2" s="599"/>
      <c r="I2" s="599"/>
      <c r="J2" s="599"/>
      <c r="K2" s="599"/>
    </row>
    <row r="3" spans="1:11" x14ac:dyDescent="0.2">
      <c r="A3" s="600" t="s">
        <v>396</v>
      </c>
      <c r="B3" s="599"/>
      <c r="C3" s="599"/>
      <c r="D3" s="599"/>
      <c r="E3" s="599"/>
      <c r="F3" s="599"/>
      <c r="G3" s="599"/>
      <c r="H3" s="599"/>
      <c r="I3" s="599"/>
      <c r="J3" s="599"/>
      <c r="K3" s="599"/>
    </row>
    <row r="4" spans="1:11" ht="13.5" thickBot="1" x14ac:dyDescent="0.25">
      <c r="A4" s="601" t="s">
        <v>111</v>
      </c>
      <c r="B4" s="601"/>
      <c r="C4" s="601"/>
      <c r="D4" s="601"/>
      <c r="E4" s="601"/>
      <c r="F4" s="601"/>
      <c r="G4" s="601"/>
      <c r="H4" s="601"/>
      <c r="I4" s="601"/>
      <c r="J4" s="601"/>
      <c r="K4" s="601"/>
    </row>
    <row r="5" spans="1:11" ht="23.25" customHeight="1" x14ac:dyDescent="0.35">
      <c r="A5" s="342" t="s">
        <v>345</v>
      </c>
      <c r="B5" s="596" t="s">
        <v>8</v>
      </c>
      <c r="C5" s="597"/>
      <c r="D5" s="597"/>
      <c r="E5" s="597"/>
      <c r="F5" s="597"/>
      <c r="G5" s="598"/>
      <c r="H5" s="596" t="s">
        <v>9</v>
      </c>
      <c r="I5" s="597"/>
      <c r="J5" s="597"/>
      <c r="K5" s="598"/>
    </row>
    <row r="6" spans="1:11" ht="15.75" thickBot="1" x14ac:dyDescent="0.4">
      <c r="A6" s="343"/>
      <c r="B6" s="314" t="s">
        <v>17</v>
      </c>
      <c r="C6" s="315" t="s">
        <v>118</v>
      </c>
      <c r="D6" s="315" t="s">
        <v>11</v>
      </c>
      <c r="E6" s="315" t="s">
        <v>344</v>
      </c>
      <c r="F6" s="315" t="s">
        <v>343</v>
      </c>
      <c r="G6" s="316" t="s">
        <v>20</v>
      </c>
      <c r="H6" s="314" t="s">
        <v>13</v>
      </c>
      <c r="I6" s="315" t="s">
        <v>14</v>
      </c>
      <c r="J6" s="315" t="s">
        <v>16</v>
      </c>
      <c r="K6" s="316" t="s">
        <v>14</v>
      </c>
    </row>
    <row r="7" spans="1:11" hidden="1" x14ac:dyDescent="0.2">
      <c r="A7" s="303" t="s">
        <v>44</v>
      </c>
      <c r="B7" s="6">
        <f>SUM(anexo1!B40)</f>
        <v>925712411000</v>
      </c>
      <c r="C7" s="6">
        <f>SUM(anexo1!C40)</f>
        <v>-2279003572</v>
      </c>
      <c r="D7" s="8">
        <f>SUM(B7:C7)</f>
        <v>923433407428</v>
      </c>
      <c r="E7" s="317">
        <f>SUM(D7/D$13)*100</f>
        <v>24.813983760475704</v>
      </c>
      <c r="F7" s="8"/>
      <c r="G7" s="304">
        <f>SUM(D7-F7)</f>
        <v>923433407428</v>
      </c>
      <c r="H7" s="6">
        <f>SUM(anexo1!F40)</f>
        <v>744401713662.77002</v>
      </c>
      <c r="I7" s="317">
        <f>SUM(H7/D7)*100</f>
        <v>80.612387171059865</v>
      </c>
      <c r="J7" s="8">
        <f>SUM(anexo1!H40)</f>
        <v>790179179811.16003</v>
      </c>
      <c r="K7" s="322">
        <f>SUM(J7/D7)*100</f>
        <v>85.569698199679905</v>
      </c>
    </row>
    <row r="8" spans="1:11" hidden="1" x14ac:dyDescent="0.2">
      <c r="A8" s="303" t="s">
        <v>65</v>
      </c>
      <c r="B8" s="6">
        <f>SUM(anexo1!B73)</f>
        <v>818240907000</v>
      </c>
      <c r="C8" s="8">
        <f>SUM(anexo1!C73)</f>
        <v>305110245426</v>
      </c>
      <c r="D8" s="8">
        <f>SUM(B8:C8)</f>
        <v>1123351152426</v>
      </c>
      <c r="E8" s="317">
        <f t="shared" ref="E8:E13" si="0">SUM(D8/D$13)*100</f>
        <v>30.186061094810267</v>
      </c>
      <c r="F8" s="8"/>
      <c r="G8" s="304">
        <f>SUM(D8-F8)</f>
        <v>1123351152426</v>
      </c>
      <c r="H8" s="6">
        <f>SUM(anexo1!F73)</f>
        <v>967616288962</v>
      </c>
      <c r="I8" s="317">
        <f t="shared" ref="I8:I13" si="1">SUM(H8/D8)*100</f>
        <v>86.136582214058933</v>
      </c>
      <c r="J8" s="8">
        <f>SUM(anexo1!H73)</f>
        <v>1007171758713</v>
      </c>
      <c r="K8" s="322">
        <f t="shared" ref="K8:K13" si="2">SUM(J8/D8)*100</f>
        <v>89.657784793107851</v>
      </c>
    </row>
    <row r="9" spans="1:11" hidden="1" x14ac:dyDescent="0.2">
      <c r="A9" s="303" t="s">
        <v>335</v>
      </c>
      <c r="B9" s="6">
        <f>SUM(anexo1!B14+anexo1!B83)</f>
        <v>306357105000</v>
      </c>
      <c r="C9" s="6">
        <f>SUM(anexo1!C14+anexo1!C83)</f>
        <v>3637246298</v>
      </c>
      <c r="D9" s="8">
        <f>SUM(B9:C9)</f>
        <v>309994351298</v>
      </c>
      <c r="E9" s="317">
        <f t="shared" si="0"/>
        <v>8.329994060289108</v>
      </c>
      <c r="F9" s="8"/>
      <c r="G9" s="304">
        <f>SUM(D9-F9)</f>
        <v>309994351298</v>
      </c>
      <c r="H9" s="6">
        <f>SUM(anexo1!F14+anexo1!F83)</f>
        <v>278522720977</v>
      </c>
      <c r="I9" s="317">
        <f t="shared" si="1"/>
        <v>89.84767619499425</v>
      </c>
      <c r="J9" s="8">
        <f>SUM(anexo1!H14+anexo1!H83)</f>
        <v>296241384217</v>
      </c>
      <c r="K9" s="322">
        <f t="shared" si="2"/>
        <v>95.563478165516898</v>
      </c>
    </row>
    <row r="10" spans="1:11" hidden="1" x14ac:dyDescent="0.2">
      <c r="A10" s="303" t="s">
        <v>336</v>
      </c>
      <c r="B10" s="6">
        <f>SUM(B7:B9)</f>
        <v>2050310423000</v>
      </c>
      <c r="C10" s="8">
        <f>SUM(C7:C9)</f>
        <v>306468488152</v>
      </c>
      <c r="D10" s="8">
        <f>SUM(D7:D9)</f>
        <v>2356778911152</v>
      </c>
      <c r="E10" s="317">
        <f t="shared" si="0"/>
        <v>63.330038915575081</v>
      </c>
      <c r="F10" s="8">
        <f>SUM(F7:F9)</f>
        <v>0</v>
      </c>
      <c r="G10" s="304">
        <f>SUM(G7:G9)</f>
        <v>2356778911152</v>
      </c>
      <c r="H10" s="6">
        <f>SUM(H7:H9)</f>
        <v>1990540723601.77</v>
      </c>
      <c r="I10" s="317">
        <f t="shared" si="1"/>
        <v>84.460222984123206</v>
      </c>
      <c r="J10" s="8">
        <f>SUM(J7:J9)</f>
        <v>2093592322741.1602</v>
      </c>
      <c r="K10" s="322">
        <f t="shared" si="2"/>
        <v>88.832784137473737</v>
      </c>
    </row>
    <row r="11" spans="1:11" hidden="1" x14ac:dyDescent="0.2">
      <c r="A11" s="303" t="s">
        <v>337</v>
      </c>
      <c r="B11" s="6">
        <f>SUM(anexo1!B103)</f>
        <v>1018363026689</v>
      </c>
      <c r="C11" s="8">
        <f>SUM(anexo1!C103)</f>
        <v>24071346506</v>
      </c>
      <c r="D11" s="8">
        <f>SUM(B11:C11)</f>
        <v>1042434373195</v>
      </c>
      <c r="E11" s="317">
        <f t="shared" si="0"/>
        <v>28.011710860524875</v>
      </c>
      <c r="F11" s="8"/>
      <c r="G11" s="304">
        <f>SUM(D11-F11)</f>
        <v>1042434373195</v>
      </c>
      <c r="H11" s="6">
        <f>SUM(anexo1!F103)</f>
        <v>900323733390</v>
      </c>
      <c r="I11" s="317">
        <f t="shared" si="1"/>
        <v>86.36742576231066</v>
      </c>
      <c r="J11" s="8">
        <f>SUM(anexo1!H103)</f>
        <v>1008795347370</v>
      </c>
      <c r="K11" s="322">
        <f t="shared" si="2"/>
        <v>96.773031790778504</v>
      </c>
    </row>
    <row r="12" spans="1:11" hidden="1" x14ac:dyDescent="0.2">
      <c r="A12" s="303" t="s">
        <v>338</v>
      </c>
      <c r="B12" s="6">
        <f>SUM(anexo1!B115)</f>
        <v>266707000000</v>
      </c>
      <c r="C12" s="8">
        <f>SUM(anexo1!C115)</f>
        <v>55503153105.5</v>
      </c>
      <c r="D12" s="8">
        <f>SUM(B12:C12)</f>
        <v>322210153105.5</v>
      </c>
      <c r="E12" s="317">
        <f t="shared" si="0"/>
        <v>8.6582502239000494</v>
      </c>
      <c r="F12" s="8"/>
      <c r="G12" s="304">
        <f>SUM(D12-F12)</f>
        <v>322210153105.5</v>
      </c>
      <c r="H12" s="6">
        <f>SUM(anexo1!F115)</f>
        <v>271220196896.70001</v>
      </c>
      <c r="I12" s="317">
        <f t="shared" si="1"/>
        <v>84.174938090140031</v>
      </c>
      <c r="J12" s="8">
        <f>SUM(anexo1!H115)</f>
        <v>304516491910.72333</v>
      </c>
      <c r="K12" s="322">
        <f t="shared" si="2"/>
        <v>94.508658084097277</v>
      </c>
    </row>
    <row r="13" spans="1:11" s="309" customFormat="1" ht="13.5" hidden="1" thickBot="1" x14ac:dyDescent="0.25">
      <c r="A13" s="305" t="s">
        <v>245</v>
      </c>
      <c r="B13" s="306">
        <f>SUM(B10:B12)</f>
        <v>3335380449689</v>
      </c>
      <c r="C13" s="307">
        <f>SUM(C10:C12)</f>
        <v>386042987763.5</v>
      </c>
      <c r="D13" s="307">
        <f>SUM(D10:D12)</f>
        <v>3721423437452.5</v>
      </c>
      <c r="E13" s="325">
        <f t="shared" si="0"/>
        <v>100</v>
      </c>
      <c r="F13" s="28">
        <f>SUM(F10:F12)</f>
        <v>0</v>
      </c>
      <c r="G13" s="326">
        <f>SUM(G10:G12)</f>
        <v>3721423437452.5</v>
      </c>
      <c r="H13" s="26">
        <f>SUM(H10:H12)</f>
        <v>3162084653888.4702</v>
      </c>
      <c r="I13" s="325">
        <f t="shared" si="1"/>
        <v>84.969762431900918</v>
      </c>
      <c r="J13" s="28">
        <f>SUM(J10:J12)</f>
        <v>3406904162021.8833</v>
      </c>
      <c r="K13" s="327">
        <f t="shared" si="2"/>
        <v>91.54841472041889</v>
      </c>
    </row>
    <row r="14" spans="1:11" ht="13.5" hidden="1" thickBot="1" x14ac:dyDescent="0.25">
      <c r="E14" s="319"/>
      <c r="I14" s="319"/>
      <c r="K14" s="319"/>
    </row>
    <row r="15" spans="1:11" hidden="1" x14ac:dyDescent="0.2">
      <c r="A15" s="310" t="s">
        <v>337</v>
      </c>
      <c r="B15" s="3">
        <f>SUM(anexo1!B104)</f>
        <v>513323116990</v>
      </c>
      <c r="C15" s="4">
        <f>SUM(anexo1!C104)</f>
        <v>74986032571</v>
      </c>
      <c r="D15" s="4">
        <f>SUM(B15:C15)</f>
        <v>588309149561</v>
      </c>
      <c r="E15" s="320">
        <f>SUM(D15/D$17)*100</f>
        <v>32.826353073216694</v>
      </c>
      <c r="F15" s="4"/>
      <c r="G15" s="311">
        <f>SUM(D15-F15)</f>
        <v>588309149561</v>
      </c>
      <c r="H15" s="3">
        <f>SUM(anexo1!F104)</f>
        <v>471424163295</v>
      </c>
      <c r="I15" s="320">
        <f>SUM(H15/D15)*100</f>
        <v>80.132046840811441</v>
      </c>
      <c r="J15" s="4">
        <f>SUM(anexo1!H104)</f>
        <v>554789188739</v>
      </c>
      <c r="K15" s="324">
        <f>SUM(J15/D15)*100</f>
        <v>94.302322027965602</v>
      </c>
    </row>
    <row r="16" spans="1:11" hidden="1" x14ac:dyDescent="0.2">
      <c r="A16" s="303" t="s">
        <v>338</v>
      </c>
      <c r="B16" s="6">
        <f>SUM(anexo1!B116)</f>
        <v>887426000000</v>
      </c>
      <c r="C16" s="8">
        <f>SUM(anexo1!C116)</f>
        <v>316450379696</v>
      </c>
      <c r="D16" s="8">
        <f>SUM(B16:C16)</f>
        <v>1203876379696</v>
      </c>
      <c r="E16" s="317">
        <f>SUM(D16/D$17)*100</f>
        <v>67.17364692678332</v>
      </c>
      <c r="F16" s="8"/>
      <c r="G16" s="304">
        <f>SUM(D16-F16)</f>
        <v>1203876379696</v>
      </c>
      <c r="H16" s="6">
        <f>SUM(anexo1!F116)</f>
        <v>1067903444770.9187</v>
      </c>
      <c r="I16" s="317">
        <f>SUM(H16/D16)*100</f>
        <v>88.70540719808649</v>
      </c>
      <c r="J16" s="8">
        <f>SUM(anexo1!H116)</f>
        <v>1170329526280.8486</v>
      </c>
      <c r="K16" s="322">
        <f>SUM(J16/D16)*100</f>
        <v>97.213430383639349</v>
      </c>
    </row>
    <row r="17" spans="1:11" s="309" customFormat="1" ht="13.5" hidden="1" thickBot="1" x14ac:dyDescent="0.25">
      <c r="A17" s="305" t="s">
        <v>339</v>
      </c>
      <c r="B17" s="306">
        <f>SUM(B15:B16)</f>
        <v>1400749116990</v>
      </c>
      <c r="C17" s="307">
        <f>SUM(C15:C16)</f>
        <v>391436412267</v>
      </c>
      <c r="D17" s="307">
        <f>SUM(D15:D16)</f>
        <v>1792185529257</v>
      </c>
      <c r="E17" s="325">
        <f>SUM(D17/D$17)*100</f>
        <v>100</v>
      </c>
      <c r="F17" s="28">
        <f>SUM(F15:F16)</f>
        <v>0</v>
      </c>
      <c r="G17" s="326">
        <f>SUM(G15:G16)</f>
        <v>1792185529257</v>
      </c>
      <c r="H17" s="26">
        <f>SUM(H15:H16)</f>
        <v>1539327608065.9187</v>
      </c>
      <c r="I17" s="325">
        <f>SUM(H17/D17)*100</f>
        <v>85.891085656968201</v>
      </c>
      <c r="J17" s="28">
        <f>SUM(J15:J16)</f>
        <v>1725118715019.8486</v>
      </c>
      <c r="K17" s="327">
        <f>SUM(J17/D17)*100</f>
        <v>96.257819676461963</v>
      </c>
    </row>
    <row r="18" spans="1:11" ht="13.5" hidden="1" thickBot="1" x14ac:dyDescent="0.25">
      <c r="E18" s="319"/>
      <c r="I18" s="319"/>
      <c r="K18" s="319"/>
    </row>
    <row r="19" spans="1:11" hidden="1" x14ac:dyDescent="0.2">
      <c r="A19" s="310" t="s">
        <v>44</v>
      </c>
      <c r="B19" s="3">
        <f>SUM(anexo1!B52)</f>
        <v>307879230000</v>
      </c>
      <c r="C19" s="3">
        <f>SUM(anexo1!C52)</f>
        <v>0</v>
      </c>
      <c r="D19" s="4">
        <f>SUM(B19:C19)</f>
        <v>307879230000</v>
      </c>
      <c r="E19" s="320">
        <f>SUM(D19/D$23)*100</f>
        <v>55.182416993610914</v>
      </c>
      <c r="F19" s="4"/>
      <c r="G19" s="311">
        <f>SUM(D19-F19)</f>
        <v>307879230000</v>
      </c>
      <c r="H19" s="3">
        <f>SUM(anexo1!F52)</f>
        <v>184131574198</v>
      </c>
      <c r="I19" s="320">
        <f>SUM(H19/D19)*100</f>
        <v>59.806429358031068</v>
      </c>
      <c r="J19" s="4">
        <f>SUM(anexo1!H52)</f>
        <v>184226205008</v>
      </c>
      <c r="K19" s="324">
        <f>SUM(J19/D19)*100</f>
        <v>59.837165699030749</v>
      </c>
    </row>
    <row r="20" spans="1:11" hidden="1" x14ac:dyDescent="0.2">
      <c r="A20" s="303" t="s">
        <v>65</v>
      </c>
      <c r="B20" s="6">
        <f>SUM(anexo1!B74)</f>
        <v>178340000000</v>
      </c>
      <c r="C20" s="6">
        <f>SUM(anexo1!C74)</f>
        <v>0</v>
      </c>
      <c r="D20" s="8">
        <f>SUM(B20:C20)</f>
        <v>178340000000</v>
      </c>
      <c r="E20" s="317">
        <f>SUM(D20/D$23)*100</f>
        <v>31.964586395258205</v>
      </c>
      <c r="F20" s="8"/>
      <c r="G20" s="304">
        <f>SUM(D20-F20)</f>
        <v>178340000000</v>
      </c>
      <c r="H20" s="6">
        <f>SUM(anexo1!F74)</f>
        <v>120735505121</v>
      </c>
      <c r="I20" s="317">
        <f>SUM(H20/D20)*100</f>
        <v>67.699621577324208</v>
      </c>
      <c r="J20" s="8">
        <f>SUM(anexo1!H74)</f>
        <v>120735505121</v>
      </c>
      <c r="K20" s="322">
        <f>SUM(J20/D20)*100</f>
        <v>67.699621577324208</v>
      </c>
    </row>
    <row r="21" spans="1:11" hidden="1" x14ac:dyDescent="0.2">
      <c r="A21" s="303" t="s">
        <v>336</v>
      </c>
      <c r="B21" s="6">
        <f>SUM(B19:B20)</f>
        <v>486219230000</v>
      </c>
      <c r="C21" s="6">
        <f>SUM(C19:C20)</f>
        <v>0</v>
      </c>
      <c r="D21" s="8">
        <f>SUM(D19:D20)</f>
        <v>486219230000</v>
      </c>
      <c r="E21" s="317">
        <f>SUM(D21/D$23)*100</f>
        <v>87.147003388869123</v>
      </c>
      <c r="F21" s="8">
        <f>SUM(F19:F20)</f>
        <v>0</v>
      </c>
      <c r="G21" s="304">
        <f>SUM(G19:G20)</f>
        <v>486219230000</v>
      </c>
      <c r="H21" s="6">
        <f>SUM(H19:H20)</f>
        <v>304867079319</v>
      </c>
      <c r="I21" s="317">
        <f>SUM(H21/D21)*100</f>
        <v>62.701567628043009</v>
      </c>
      <c r="J21" s="8">
        <f>SUM(J19:J20)</f>
        <v>304961710129</v>
      </c>
      <c r="K21" s="322">
        <f>SUM(J21/D21)*100</f>
        <v>62.721030208739379</v>
      </c>
    </row>
    <row r="22" spans="1:11" hidden="1" x14ac:dyDescent="0.2">
      <c r="A22" s="303" t="s">
        <v>337</v>
      </c>
      <c r="B22" s="6">
        <f>SUM(anexo1!B105)</f>
        <v>65974121369</v>
      </c>
      <c r="C22" s="8">
        <f>SUM(anexo1!C105)</f>
        <v>5736595838</v>
      </c>
      <c r="D22" s="8">
        <f>SUM(B22:C22)</f>
        <v>71710717207</v>
      </c>
      <c r="E22" s="317">
        <f>SUM(D22/D$23)*100</f>
        <v>12.852996611130877</v>
      </c>
      <c r="F22" s="8"/>
      <c r="G22" s="304">
        <f>SUM(D22-F22)</f>
        <v>71710717207</v>
      </c>
      <c r="H22" s="6">
        <f>SUM(anexo1!F105)</f>
        <v>70828896485</v>
      </c>
      <c r="I22" s="317">
        <f>SUM(H22/D22)*100</f>
        <v>98.770308321621528</v>
      </c>
      <c r="J22" s="8">
        <f>SUM(anexo1!H105)</f>
        <v>70862591033</v>
      </c>
      <c r="K22" s="322">
        <f>SUM(J22/D22)*100</f>
        <v>98.817295089168056</v>
      </c>
    </row>
    <row r="23" spans="1:11" s="309" customFormat="1" ht="13.5" hidden="1" thickBot="1" x14ac:dyDescent="0.25">
      <c r="A23" s="305" t="s">
        <v>340</v>
      </c>
      <c r="B23" s="306">
        <f>SUM(B21:B22)</f>
        <v>552193351369</v>
      </c>
      <c r="C23" s="307">
        <f>SUM(C21:C22)</f>
        <v>5736595838</v>
      </c>
      <c r="D23" s="307">
        <f>SUM(D21:D22)</f>
        <v>557929947207</v>
      </c>
      <c r="E23" s="325">
        <f>SUM(D23/D$23)*100</f>
        <v>100</v>
      </c>
      <c r="F23" s="28">
        <f>SUM(F21:F22)</f>
        <v>0</v>
      </c>
      <c r="G23" s="326">
        <f>SUM(G21:G22)</f>
        <v>557929947207</v>
      </c>
      <c r="H23" s="26">
        <f>SUM(H21:H22)</f>
        <v>375695975804</v>
      </c>
      <c r="I23" s="325">
        <f>SUM(H23/D23)*100</f>
        <v>67.337481647066241</v>
      </c>
      <c r="J23" s="28">
        <f>SUM(J21:J22)</f>
        <v>375824301162</v>
      </c>
      <c r="K23" s="327">
        <f>SUM(J23/D23)*100</f>
        <v>67.36048191056571</v>
      </c>
    </row>
    <row r="24" spans="1:11" ht="13.5" hidden="1" thickBot="1" x14ac:dyDescent="0.25">
      <c r="E24" s="319"/>
      <c r="I24" s="319"/>
      <c r="K24" s="319"/>
    </row>
    <row r="25" spans="1:11" hidden="1" x14ac:dyDescent="0.2">
      <c r="A25" s="310" t="s">
        <v>44</v>
      </c>
      <c r="B25" s="3">
        <f>SUM(anexo1!B60)</f>
        <v>6729172324000</v>
      </c>
      <c r="C25" s="4">
        <f>SUM(anexo1!C60)</f>
        <v>-368855622704</v>
      </c>
      <c r="D25" s="4">
        <f>SUM(B25:C25)</f>
        <v>6360316701296</v>
      </c>
      <c r="E25" s="320">
        <f>SUM(D25/D$31)*100</f>
        <v>44.636430234998805</v>
      </c>
      <c r="F25" s="4"/>
      <c r="G25" s="311">
        <f>SUM(D25-F25)</f>
        <v>6360316701296</v>
      </c>
      <c r="H25" s="3">
        <f>SUM(anexo1!F60)</f>
        <v>5099852785515.96</v>
      </c>
      <c r="I25" s="320">
        <f t="shared" ref="I25:I31" si="3">SUM(H25/D25)*100</f>
        <v>80.182371806686874</v>
      </c>
      <c r="J25" s="4">
        <f>SUM(anexo1!H60)</f>
        <v>5766026908345</v>
      </c>
      <c r="K25" s="324">
        <f t="shared" ref="K25:K31" si="4">SUM(J25/D25)*100</f>
        <v>90.656286143268545</v>
      </c>
    </row>
    <row r="26" spans="1:11" hidden="1" x14ac:dyDescent="0.2">
      <c r="A26" s="303" t="s">
        <v>65</v>
      </c>
      <c r="B26" s="6">
        <f>SUM(anexo1!B75)</f>
        <v>5408196090000</v>
      </c>
      <c r="C26" s="6">
        <f>SUM(anexo1!C75)</f>
        <v>-691572961760</v>
      </c>
      <c r="D26" s="8">
        <f>SUM(B26:C26)</f>
        <v>4716623128240</v>
      </c>
      <c r="E26" s="317">
        <f t="shared" ref="E26:E31" si="5">SUM(D26/D$31)*100</f>
        <v>33.101059128953061</v>
      </c>
      <c r="F26" s="8"/>
      <c r="G26" s="304">
        <f>SUM(D26-F26)</f>
        <v>4716623128240</v>
      </c>
      <c r="H26" s="6">
        <f>SUM(anexo1!F75)</f>
        <v>2283475181048</v>
      </c>
      <c r="I26" s="317">
        <f t="shared" si="3"/>
        <v>48.413348257062779</v>
      </c>
      <c r="J26" s="8">
        <f>SUM(anexo1!H75)</f>
        <v>3760206023264</v>
      </c>
      <c r="K26" s="322">
        <f t="shared" si="4"/>
        <v>79.722418370685361</v>
      </c>
    </row>
    <row r="27" spans="1:11" hidden="1" x14ac:dyDescent="0.2">
      <c r="A27" s="303" t="s">
        <v>335</v>
      </c>
      <c r="B27" s="6">
        <f>SUM(anexo1!B16+anexo1!B85)</f>
        <v>56430866000</v>
      </c>
      <c r="C27" s="6">
        <f>SUM(anexo1!C16+anexo1!C85)</f>
        <v>-23066250000</v>
      </c>
      <c r="D27" s="8">
        <f>SUM(B27:C27)</f>
        <v>33364616000</v>
      </c>
      <c r="E27" s="317">
        <f t="shared" si="5"/>
        <v>0.23415144627909248</v>
      </c>
      <c r="F27" s="8"/>
      <c r="G27" s="304">
        <f>SUM(D27-F27)</f>
        <v>33364616000</v>
      </c>
      <c r="H27" s="6">
        <f>SUM(anexo1!F16+anexo1!F85)</f>
        <v>7251499501</v>
      </c>
      <c r="I27" s="317">
        <f t="shared" si="3"/>
        <v>21.734101483439822</v>
      </c>
      <c r="J27" s="8">
        <f>SUM(anexo1!H16+anexo1!H85)</f>
        <v>16009959268</v>
      </c>
      <c r="K27" s="322">
        <f t="shared" si="4"/>
        <v>47.984844986676904</v>
      </c>
    </row>
    <row r="28" spans="1:11" hidden="1" x14ac:dyDescent="0.2">
      <c r="A28" s="303" t="s">
        <v>336</v>
      </c>
      <c r="B28" s="6">
        <f>SUM(B25:B27)</f>
        <v>12193799280000</v>
      </c>
      <c r="C28" s="8">
        <f>SUM(C25:C27)</f>
        <v>-1083494834464</v>
      </c>
      <c r="D28" s="8">
        <f>SUM(D25:D27)</f>
        <v>11110304445536</v>
      </c>
      <c r="E28" s="317">
        <f t="shared" si="5"/>
        <v>77.971640810230966</v>
      </c>
      <c r="F28" s="8">
        <f>SUM(F25:F27)</f>
        <v>0</v>
      </c>
      <c r="G28" s="304">
        <f>SUM(G25:G27)</f>
        <v>11110304445536</v>
      </c>
      <c r="H28" s="6">
        <f>SUM(H25:H27)</f>
        <v>7390579466064.96</v>
      </c>
      <c r="I28" s="317">
        <f t="shared" si="3"/>
        <v>66.520044543283547</v>
      </c>
      <c r="J28" s="8">
        <f>SUM(J25:J27)</f>
        <v>9542242890877</v>
      </c>
      <c r="K28" s="322">
        <f t="shared" si="4"/>
        <v>85.886421363646519</v>
      </c>
    </row>
    <row r="29" spans="1:11" hidden="1" x14ac:dyDescent="0.2">
      <c r="A29" s="303" t="s">
        <v>337</v>
      </c>
      <c r="B29" s="6">
        <f>SUM(anexo1!B106)</f>
        <v>2936069871623</v>
      </c>
      <c r="C29" s="8">
        <f>SUM(anexo1!C106)</f>
        <v>112935340076</v>
      </c>
      <c r="D29" s="8">
        <f>SUM(B29:C29)</f>
        <v>3049005211699</v>
      </c>
      <c r="E29" s="317">
        <f t="shared" si="5"/>
        <v>21.397788004867532</v>
      </c>
      <c r="F29" s="8"/>
      <c r="G29" s="304">
        <f>SUM(D29-F29)</f>
        <v>3049005211699</v>
      </c>
      <c r="H29" s="6">
        <f>SUM(anexo1!F106)</f>
        <v>1770197072528</v>
      </c>
      <c r="I29" s="317">
        <f t="shared" si="3"/>
        <v>58.058184542806714</v>
      </c>
      <c r="J29" s="8">
        <f>SUM(anexo1!H106)</f>
        <v>2779622422253</v>
      </c>
      <c r="K29" s="322">
        <f t="shared" si="4"/>
        <v>91.164895736734692</v>
      </c>
    </row>
    <row r="30" spans="1:11" hidden="1" x14ac:dyDescent="0.2">
      <c r="A30" s="303" t="s">
        <v>338</v>
      </c>
      <c r="B30" s="6">
        <f>SUM(anexo1!B118)</f>
        <v>32668000000</v>
      </c>
      <c r="C30" s="8">
        <f>SUM(anexo1!C118)</f>
        <v>57183101837</v>
      </c>
      <c r="D30" s="8">
        <f>SUM(B30:C30)</f>
        <v>89851101837</v>
      </c>
      <c r="E30" s="317">
        <f t="shared" si="5"/>
        <v>0.63057118490150077</v>
      </c>
      <c r="F30" s="8"/>
      <c r="G30" s="304">
        <f>SUM(D30-F30)</f>
        <v>89851101837</v>
      </c>
      <c r="H30" s="6">
        <f>SUM(anexo1!F118)</f>
        <v>12592560994</v>
      </c>
      <c r="I30" s="317">
        <f t="shared" si="3"/>
        <v>14.01492106000472</v>
      </c>
      <c r="J30" s="8">
        <f>SUM(anexo1!H118)</f>
        <v>31186385730</v>
      </c>
      <c r="K30" s="322">
        <f t="shared" si="4"/>
        <v>34.708963042629804</v>
      </c>
    </row>
    <row r="31" spans="1:11" s="309" customFormat="1" ht="13.5" hidden="1" thickBot="1" x14ac:dyDescent="0.25">
      <c r="A31" s="305" t="s">
        <v>341</v>
      </c>
      <c r="B31" s="306">
        <f>SUM(B28:B30)</f>
        <v>15162537151623</v>
      </c>
      <c r="C31" s="307">
        <f>SUM(C28:C30)</f>
        <v>-913376392551</v>
      </c>
      <c r="D31" s="307">
        <f>SUM(D28:D30)</f>
        <v>14249160759072</v>
      </c>
      <c r="E31" s="325">
        <f t="shared" si="5"/>
        <v>100</v>
      </c>
      <c r="F31" s="28">
        <f>SUM(F28:F30)</f>
        <v>0</v>
      </c>
      <c r="G31" s="326">
        <f>SUM(G28:G30)</f>
        <v>14249160759072</v>
      </c>
      <c r="H31" s="26">
        <f>SUM(H28:H30)</f>
        <v>9173369099586.9609</v>
      </c>
      <c r="I31" s="325">
        <f t="shared" si="3"/>
        <v>64.378311499830332</v>
      </c>
      <c r="J31" s="28">
        <f>SUM(J28:J30)</f>
        <v>12353051698860</v>
      </c>
      <c r="K31" s="327">
        <f t="shared" si="4"/>
        <v>86.69318781455388</v>
      </c>
    </row>
    <row r="32" spans="1:11" s="309" customFormat="1" ht="13.5" hidden="1" thickBot="1" x14ac:dyDescent="0.25">
      <c r="A32" s="312"/>
      <c r="B32" s="312"/>
      <c r="C32" s="312"/>
      <c r="D32" s="312"/>
      <c r="E32" s="321"/>
      <c r="F32" s="312"/>
      <c r="G32" s="312"/>
      <c r="H32" s="312"/>
      <c r="I32" s="321"/>
      <c r="J32" s="312"/>
      <c r="K32" s="321"/>
    </row>
    <row r="33" spans="1:11" s="309" customFormat="1" hidden="1" x14ac:dyDescent="0.2">
      <c r="A33" s="310" t="s">
        <v>337</v>
      </c>
      <c r="B33" s="3">
        <f>SUM(anexo1!B107)</f>
        <v>143553274553</v>
      </c>
      <c r="C33" s="4">
        <f>SUM(anexo1!C107)</f>
        <v>1483619743</v>
      </c>
      <c r="D33" s="4">
        <f>SUM(B33:C33)</f>
        <v>145036894296</v>
      </c>
      <c r="E33" s="320">
        <f>SUM(D33/D$35)*100</f>
        <v>79.891645653850318</v>
      </c>
      <c r="F33" s="4"/>
      <c r="G33" s="311">
        <f>SUM(D33-F33)</f>
        <v>145036894296</v>
      </c>
      <c r="H33" s="3"/>
      <c r="I33" s="320">
        <f>SUM(H33/D33)*100</f>
        <v>0</v>
      </c>
      <c r="J33" s="4"/>
      <c r="K33" s="324">
        <f>SUM(J33/D33)*100</f>
        <v>0</v>
      </c>
    </row>
    <row r="34" spans="1:11" s="309" customFormat="1" hidden="1" x14ac:dyDescent="0.2">
      <c r="A34" s="303" t="s">
        <v>338</v>
      </c>
      <c r="B34" s="6">
        <f>SUM(anexo1!B119)</f>
        <v>0</v>
      </c>
      <c r="C34" s="8">
        <f>SUM(anexo1!C119)</f>
        <v>36505109387.848328</v>
      </c>
      <c r="D34" s="8">
        <f>SUM(B34:C34)</f>
        <v>36505109387.848328</v>
      </c>
      <c r="E34" s="317">
        <f>SUM(D34/D$35)*100</f>
        <v>20.108354346149678</v>
      </c>
      <c r="F34" s="8"/>
      <c r="G34" s="304">
        <f>SUM(D34-F34)</f>
        <v>36505109387.848328</v>
      </c>
      <c r="H34" s="6"/>
      <c r="I34" s="317">
        <f>SUM(H34/D34)*100</f>
        <v>0</v>
      </c>
      <c r="J34" s="8"/>
      <c r="K34" s="322">
        <f>SUM(J34/D34)*100</f>
        <v>0</v>
      </c>
    </row>
    <row r="35" spans="1:11" s="309" customFormat="1" ht="13.5" hidden="1" thickBot="1" x14ac:dyDescent="0.25">
      <c r="A35" s="305" t="s">
        <v>270</v>
      </c>
      <c r="B35" s="306">
        <f>SUM(B33:B34)</f>
        <v>143553274553</v>
      </c>
      <c r="C35" s="307">
        <f>SUM(C33:C34)</f>
        <v>37988729130.848328</v>
      </c>
      <c r="D35" s="307">
        <f>SUM(D33:D34)</f>
        <v>181542003683.84833</v>
      </c>
      <c r="E35" s="325">
        <f>SUM(D35/D$35)*100</f>
        <v>100</v>
      </c>
      <c r="F35" s="307">
        <f>SUM(F33:F34)</f>
        <v>0</v>
      </c>
      <c r="G35" s="308">
        <f>SUM(G33:G34)</f>
        <v>181542003683.84833</v>
      </c>
      <c r="H35" s="306">
        <f>SUM(H33:H34)</f>
        <v>0</v>
      </c>
      <c r="I35" s="318">
        <f>SUM(H35/D35)*100</f>
        <v>0</v>
      </c>
      <c r="J35" s="307">
        <f>SUM(J33:J34)</f>
        <v>0</v>
      </c>
      <c r="K35" s="323">
        <f>SUM(J35/D35)*100</f>
        <v>0</v>
      </c>
    </row>
    <row r="36" spans="1:11" ht="13.5" hidden="1" thickBot="1" x14ac:dyDescent="0.25">
      <c r="E36" s="319"/>
      <c r="I36" s="319"/>
      <c r="K36" s="319"/>
    </row>
    <row r="37" spans="1:11" x14ac:dyDescent="0.2">
      <c r="A37" s="331" t="s">
        <v>44</v>
      </c>
      <c r="B37" s="3">
        <f t="shared" ref="B37:D38" si="6">SUM(B7+B19+B25)</f>
        <v>7962763965000</v>
      </c>
      <c r="C37" s="4">
        <f t="shared" si="6"/>
        <v>-371134626276</v>
      </c>
      <c r="D37" s="4">
        <f t="shared" si="6"/>
        <v>7591629338724</v>
      </c>
      <c r="E37" s="320">
        <f>SUM(D37/D$43)*100</f>
        <v>37.0282891912343</v>
      </c>
      <c r="F37" s="4">
        <f t="shared" ref="F37:H38" si="7">SUM(F7+F19+F25)</f>
        <v>0</v>
      </c>
      <c r="G37" s="311">
        <f t="shared" si="7"/>
        <v>7591629338724</v>
      </c>
      <c r="H37" s="3">
        <f t="shared" si="7"/>
        <v>6028386073376.7305</v>
      </c>
      <c r="I37" s="320">
        <f t="shared" ref="I37:I43" si="8">SUM(H37/D37)*100</f>
        <v>79.408329943437167</v>
      </c>
      <c r="J37" s="4">
        <f>SUM(J7+J19+J25)</f>
        <v>6740432293164.1602</v>
      </c>
      <c r="K37" s="324">
        <f t="shared" ref="K37:K43" si="9">SUM(J37/D37)*100</f>
        <v>88.787689604154082</v>
      </c>
    </row>
    <row r="38" spans="1:11" x14ac:dyDescent="0.2">
      <c r="A38" s="332" t="s">
        <v>65</v>
      </c>
      <c r="B38" s="6">
        <f t="shared" si="6"/>
        <v>6404776997000</v>
      </c>
      <c r="C38" s="8">
        <f t="shared" si="6"/>
        <v>-386462716334</v>
      </c>
      <c r="D38" s="8">
        <f t="shared" si="6"/>
        <v>6018314280666</v>
      </c>
      <c r="E38" s="317">
        <f t="shared" ref="E38:E43" si="10">SUM(D38/D$43)*100</f>
        <v>29.354420729093722</v>
      </c>
      <c r="F38" s="8">
        <f t="shared" si="7"/>
        <v>0</v>
      </c>
      <c r="G38" s="304">
        <f t="shared" si="7"/>
        <v>6018314280666</v>
      </c>
      <c r="H38" s="6">
        <f t="shared" si="7"/>
        <v>3371826975131</v>
      </c>
      <c r="I38" s="317">
        <f t="shared" si="8"/>
        <v>56.026103288807747</v>
      </c>
      <c r="J38" s="8">
        <f>SUM(J8+J20+J26)</f>
        <v>4888113287098</v>
      </c>
      <c r="K38" s="322">
        <f t="shared" si="9"/>
        <v>81.220638523335325</v>
      </c>
    </row>
    <row r="39" spans="1:11" x14ac:dyDescent="0.2">
      <c r="A39" s="332" t="s">
        <v>335</v>
      </c>
      <c r="B39" s="6">
        <f>SUM(B9+B27)</f>
        <v>362787971000</v>
      </c>
      <c r="C39" s="8">
        <f>SUM(C9+C27)</f>
        <v>-19429003702</v>
      </c>
      <c r="D39" s="8">
        <f>SUM(D9+D27)</f>
        <v>343358967298</v>
      </c>
      <c r="E39" s="317">
        <f t="shared" si="10"/>
        <v>1.6747386588885897</v>
      </c>
      <c r="F39" s="8">
        <f>SUM(F9+F27)</f>
        <v>0</v>
      </c>
      <c r="G39" s="304">
        <f>SUM(G9+G27)</f>
        <v>343358967298</v>
      </c>
      <c r="H39" s="6">
        <f>SUM(H9+H27)</f>
        <v>285774220478</v>
      </c>
      <c r="I39" s="317">
        <f t="shared" si="8"/>
        <v>83.228995801929244</v>
      </c>
      <c r="J39" s="8">
        <f>SUM(J9+J27)</f>
        <v>312251343485</v>
      </c>
      <c r="K39" s="322">
        <f t="shared" si="9"/>
        <v>90.94020346758505</v>
      </c>
    </row>
    <row r="40" spans="1:11" x14ac:dyDescent="0.2">
      <c r="A40" s="313" t="s">
        <v>336</v>
      </c>
      <c r="B40" s="12">
        <f>SUM(B37:B39)</f>
        <v>14730328933000</v>
      </c>
      <c r="C40" s="14">
        <f>SUM(C37:C39)</f>
        <v>-777026346312</v>
      </c>
      <c r="D40" s="14">
        <f>SUM(D37:D39)</f>
        <v>13953302586688</v>
      </c>
      <c r="E40" s="328">
        <f t="shared" si="10"/>
        <v>68.057448579216612</v>
      </c>
      <c r="F40" s="14">
        <f>SUM(F37:F39)</f>
        <v>0</v>
      </c>
      <c r="G40" s="329">
        <f>SUM(G37:G39)</f>
        <v>13953302586688</v>
      </c>
      <c r="H40" s="12">
        <f>SUM(H37:H39)</f>
        <v>9685987268985.7305</v>
      </c>
      <c r="I40" s="328">
        <f t="shared" si="8"/>
        <v>69.417166357637399</v>
      </c>
      <c r="J40" s="14">
        <f>SUM(J37:J39)</f>
        <v>11940796923747.16</v>
      </c>
      <c r="K40" s="330">
        <f t="shared" si="9"/>
        <v>85.576850710161992</v>
      </c>
    </row>
    <row r="41" spans="1:11" x14ac:dyDescent="0.2">
      <c r="A41" s="313" t="s">
        <v>337</v>
      </c>
      <c r="B41" s="12">
        <f>SUM(B11+B15+B22+B29+B33)</f>
        <v>4677283411224</v>
      </c>
      <c r="C41" s="14">
        <f>SUM(C11+C15+C22+C29+C33)</f>
        <v>219212934734</v>
      </c>
      <c r="D41" s="14">
        <f>SUM(D11+D15+D22+D29+D33)</f>
        <v>4896496345958</v>
      </c>
      <c r="E41" s="328">
        <f t="shared" si="10"/>
        <v>23.882736449884316</v>
      </c>
      <c r="F41" s="14">
        <f>SUM(F11+F15+F22+F29)</f>
        <v>0</v>
      </c>
      <c r="G41" s="329">
        <f>SUM(G11+G15+G22+G29)</f>
        <v>4751459451662</v>
      </c>
      <c r="H41" s="12">
        <f>SUM(H11+H15+H22+H29)</f>
        <v>3212773865698</v>
      </c>
      <c r="I41" s="328">
        <f t="shared" si="8"/>
        <v>65.613729464949103</v>
      </c>
      <c r="J41" s="14">
        <f>SUM(J11+J15+J22+J29)</f>
        <v>4414069549395</v>
      </c>
      <c r="K41" s="330">
        <f t="shared" si="9"/>
        <v>90.147510332337163</v>
      </c>
    </row>
    <row r="42" spans="1:11" x14ac:dyDescent="0.2">
      <c r="A42" s="313" t="s">
        <v>338</v>
      </c>
      <c r="B42" s="12">
        <f>SUM(B12+B16+B30+B34)</f>
        <v>1186801000000</v>
      </c>
      <c r="C42" s="14">
        <f>SUM(C12+C16+C30+C34)</f>
        <v>465641744026.34833</v>
      </c>
      <c r="D42" s="14">
        <f>SUM(D12+D16+D30+D34)</f>
        <v>1652442744026.3484</v>
      </c>
      <c r="E42" s="328">
        <f t="shared" si="10"/>
        <v>8.0598149708990796</v>
      </c>
      <c r="F42" s="14">
        <f>SUM(F12+F16+F30)</f>
        <v>0</v>
      </c>
      <c r="G42" s="329">
        <f>SUM(G12+G16+G30)</f>
        <v>1615937634638.5</v>
      </c>
      <c r="H42" s="12">
        <f>SUM(H12+H16+H30)</f>
        <v>1351716202661.6187</v>
      </c>
      <c r="I42" s="328">
        <f t="shared" si="8"/>
        <v>81.801091598975574</v>
      </c>
      <c r="J42" s="14">
        <f>SUM(J12+J16+J30)</f>
        <v>1506032403921.572</v>
      </c>
      <c r="K42" s="330">
        <f t="shared" si="9"/>
        <v>91.139763200022756</v>
      </c>
    </row>
    <row r="43" spans="1:11" ht="13.5" thickBot="1" x14ac:dyDescent="0.25">
      <c r="A43" s="305" t="s">
        <v>342</v>
      </c>
      <c r="B43" s="26">
        <f>SUM(B40:B42)</f>
        <v>20594413344224</v>
      </c>
      <c r="C43" s="28">
        <f>SUM(C40:C42)</f>
        <v>-92171667551.651672</v>
      </c>
      <c r="D43" s="28">
        <f>SUM(D40:D42)</f>
        <v>20502241676672.348</v>
      </c>
      <c r="E43" s="325">
        <f t="shared" si="10"/>
        <v>100</v>
      </c>
      <c r="F43" s="28">
        <f>SUM(F40:F42)</f>
        <v>0</v>
      </c>
      <c r="G43" s="326">
        <f>SUM(G40:G42)</f>
        <v>20320699672988.5</v>
      </c>
      <c r="H43" s="26">
        <f>SUM(H40:H42)</f>
        <v>14250477337345.35</v>
      </c>
      <c r="I43" s="325">
        <f t="shared" si="8"/>
        <v>69.506923009105307</v>
      </c>
      <c r="J43" s="28">
        <f>SUM(J40:J42)</f>
        <v>17860898877063.73</v>
      </c>
      <c r="K43" s="327">
        <f t="shared" si="9"/>
        <v>87.116809755423176</v>
      </c>
    </row>
    <row r="45" spans="1:11" x14ac:dyDescent="0.2">
      <c r="A45" s="333" t="s">
        <v>347</v>
      </c>
    </row>
    <row r="46" spans="1:11" x14ac:dyDescent="0.2">
      <c r="A46" s="333" t="s">
        <v>348</v>
      </c>
    </row>
  </sheetData>
  <mergeCells count="6">
    <mergeCell ref="H5:K5"/>
    <mergeCell ref="B5:G5"/>
    <mergeCell ref="A1:K1"/>
    <mergeCell ref="A2:K2"/>
    <mergeCell ref="A3:K3"/>
    <mergeCell ref="A4:K4"/>
  </mergeCells>
  <phoneticPr fontId="2" type="noConversion"/>
  <printOptions horizontalCentered="1" verticalCentered="1"/>
  <pageMargins left="0" right="0" top="0" bottom="0" header="0" footer="0"/>
  <pageSetup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zoomScale="150" zoomScaleNormal="150" workbookViewId="0">
      <pane ySplit="2" topLeftCell="A48" activePane="bottomLeft" state="frozen"/>
      <selection pane="bottomLeft" activeCell="A3" sqref="A3"/>
    </sheetView>
  </sheetViews>
  <sheetFormatPr baseColWidth="10" defaultRowHeight="23.25" x14ac:dyDescent="0.35"/>
  <cols>
    <col min="1" max="1" width="35.33203125" style="508" customWidth="1"/>
    <col min="2" max="2" width="76" style="508" customWidth="1"/>
    <col min="3" max="16384" width="11.5546875" style="508"/>
  </cols>
  <sheetData>
    <row r="1" spans="1:2" ht="27.75" x14ac:dyDescent="0.35">
      <c r="A1" s="602" t="s">
        <v>403</v>
      </c>
      <c r="B1" s="602"/>
    </row>
    <row r="2" spans="1:2" ht="30" x14ac:dyDescent="0.35">
      <c r="A2" s="605" t="s">
        <v>451</v>
      </c>
      <c r="B2" s="605"/>
    </row>
    <row r="3" spans="1:2" x14ac:dyDescent="0.35">
      <c r="A3" s="509"/>
      <c r="B3" s="509"/>
    </row>
    <row r="4" spans="1:2" x14ac:dyDescent="0.35">
      <c r="A4" s="603" t="s">
        <v>435</v>
      </c>
      <c r="B4" s="603"/>
    </row>
    <row r="5" spans="1:2" x14ac:dyDescent="0.35">
      <c r="A5" s="512"/>
    </row>
    <row r="6" spans="1:2" ht="46.5" x14ac:dyDescent="0.35">
      <c r="A6" s="513" t="s">
        <v>404</v>
      </c>
    </row>
    <row r="7" spans="1:2" x14ac:dyDescent="0.35">
      <c r="A7" s="513" t="s">
        <v>405</v>
      </c>
    </row>
    <row r="8" spans="1:2" x14ac:dyDescent="0.35">
      <c r="A8" s="513" t="s">
        <v>406</v>
      </c>
    </row>
    <row r="9" spans="1:2" x14ac:dyDescent="0.35">
      <c r="A9" s="513" t="s">
        <v>407</v>
      </c>
    </row>
    <row r="10" spans="1:2" x14ac:dyDescent="0.35">
      <c r="A10" s="513" t="s">
        <v>408</v>
      </c>
    </row>
    <row r="11" spans="1:2" x14ac:dyDescent="0.35">
      <c r="A11" s="513" t="s">
        <v>409</v>
      </c>
    </row>
    <row r="12" spans="1:2" x14ac:dyDescent="0.35">
      <c r="A12" s="513" t="s">
        <v>410</v>
      </c>
    </row>
    <row r="13" spans="1:2" x14ac:dyDescent="0.35">
      <c r="A13" s="513" t="s">
        <v>411</v>
      </c>
    </row>
    <row r="14" spans="1:2" x14ac:dyDescent="0.35">
      <c r="A14" s="513" t="s">
        <v>412</v>
      </c>
    </row>
    <row r="15" spans="1:2" x14ac:dyDescent="0.35">
      <c r="A15" s="513" t="s">
        <v>413</v>
      </c>
    </row>
    <row r="17" spans="1:2" x14ac:dyDescent="0.35">
      <c r="A17" s="511"/>
    </row>
    <row r="18" spans="1:2" x14ac:dyDescent="0.35">
      <c r="A18" s="514" t="s">
        <v>414</v>
      </c>
    </row>
    <row r="19" spans="1:2" x14ac:dyDescent="0.35">
      <c r="A19" s="512"/>
    </row>
    <row r="20" spans="1:2" x14ac:dyDescent="0.35">
      <c r="A20" s="604" t="s">
        <v>415</v>
      </c>
      <c r="B20" s="604"/>
    </row>
    <row r="21" spans="1:2" x14ac:dyDescent="0.35">
      <c r="A21" s="513" t="s">
        <v>416</v>
      </c>
    </row>
    <row r="22" spans="1:2" x14ac:dyDescent="0.35">
      <c r="A22" s="513" t="s">
        <v>413</v>
      </c>
    </row>
    <row r="23" spans="1:2" x14ac:dyDescent="0.35">
      <c r="A23" s="513" t="s">
        <v>417</v>
      </c>
    </row>
    <row r="24" spans="1:2" x14ac:dyDescent="0.35">
      <c r="A24" s="513" t="s">
        <v>418</v>
      </c>
    </row>
    <row r="26" spans="1:2" x14ac:dyDescent="0.35">
      <c r="A26" s="510"/>
    </row>
    <row r="27" spans="1:2" x14ac:dyDescent="0.35">
      <c r="A27" s="603" t="s">
        <v>436</v>
      </c>
      <c r="B27" s="603"/>
    </row>
    <row r="28" spans="1:2" x14ac:dyDescent="0.35">
      <c r="A28" s="512"/>
    </row>
    <row r="29" spans="1:2" x14ac:dyDescent="0.35">
      <c r="A29" s="604" t="s">
        <v>419</v>
      </c>
      <c r="B29" s="604"/>
    </row>
    <row r="30" spans="1:2" x14ac:dyDescent="0.35">
      <c r="A30" s="513" t="s">
        <v>420</v>
      </c>
    </row>
    <row r="31" spans="1:2" x14ac:dyDescent="0.35">
      <c r="A31" s="604" t="s">
        <v>421</v>
      </c>
      <c r="B31" s="604"/>
    </row>
    <row r="33" spans="1:4" x14ac:dyDescent="0.35">
      <c r="A33" s="511"/>
    </row>
    <row r="34" spans="1:4" x14ac:dyDescent="0.35">
      <c r="A34" s="608" t="s">
        <v>422</v>
      </c>
      <c r="B34" s="608"/>
    </row>
    <row r="35" spans="1:4" x14ac:dyDescent="0.35">
      <c r="A35" s="512"/>
    </row>
    <row r="36" spans="1:4" x14ac:dyDescent="0.35">
      <c r="A36" s="604" t="s">
        <v>423</v>
      </c>
      <c r="B36" s="604"/>
    </row>
    <row r="37" spans="1:4" x14ac:dyDescent="0.35">
      <c r="A37" s="604" t="s">
        <v>424</v>
      </c>
      <c r="B37" s="604"/>
    </row>
    <row r="38" spans="1:4" x14ac:dyDescent="0.35">
      <c r="A38" s="604" t="s">
        <v>425</v>
      </c>
      <c r="B38" s="604"/>
    </row>
    <row r="39" spans="1:4" x14ac:dyDescent="0.35">
      <c r="A39" s="604" t="s">
        <v>426</v>
      </c>
      <c r="B39" s="604"/>
    </row>
    <row r="40" spans="1:4" x14ac:dyDescent="0.35">
      <c r="A40" s="513" t="s">
        <v>417</v>
      </c>
    </row>
    <row r="42" spans="1:4" x14ac:dyDescent="0.35">
      <c r="A42" s="510"/>
    </row>
    <row r="43" spans="1:4" x14ac:dyDescent="0.35">
      <c r="A43" s="511" t="s">
        <v>437</v>
      </c>
    </row>
    <row r="44" spans="1:4" x14ac:dyDescent="0.35">
      <c r="A44" s="512"/>
    </row>
    <row r="45" spans="1:4" ht="27" x14ac:dyDescent="0.35">
      <c r="A45" s="516" t="s">
        <v>455</v>
      </c>
      <c r="B45" s="517"/>
      <c r="C45" s="518"/>
      <c r="D45" s="518"/>
    </row>
    <row r="46" spans="1:4" ht="25.5" customHeight="1" x14ac:dyDescent="0.35">
      <c r="A46" s="516" t="s">
        <v>452</v>
      </c>
      <c r="B46" s="517"/>
      <c r="C46" s="518"/>
      <c r="D46" s="518"/>
    </row>
    <row r="47" spans="1:4" ht="25.5" customHeight="1" x14ac:dyDescent="0.35">
      <c r="A47" s="516"/>
      <c r="B47" s="517"/>
      <c r="C47" s="518"/>
      <c r="D47" s="518"/>
    </row>
    <row r="48" spans="1:4" ht="25.5" customHeight="1" x14ac:dyDescent="0.35">
      <c r="A48" s="516" t="s">
        <v>453</v>
      </c>
      <c r="B48" s="517"/>
      <c r="C48" s="518"/>
      <c r="D48" s="518"/>
    </row>
    <row r="49" spans="1:4" ht="27" x14ac:dyDescent="0.35">
      <c r="A49" s="516" t="s">
        <v>454</v>
      </c>
      <c r="B49" s="518"/>
      <c r="C49" s="518"/>
      <c r="D49" s="518"/>
    </row>
    <row r="50" spans="1:4" ht="111" customHeight="1" x14ac:dyDescent="0.35">
      <c r="A50" s="609" t="s">
        <v>438</v>
      </c>
      <c r="B50" s="609"/>
      <c r="C50" s="609"/>
      <c r="D50" s="609"/>
    </row>
    <row r="51" spans="1:4" ht="27" x14ac:dyDescent="0.35">
      <c r="A51" s="609" t="s">
        <v>439</v>
      </c>
      <c r="B51" s="609"/>
      <c r="C51" s="609"/>
      <c r="D51" s="609"/>
    </row>
    <row r="52" spans="1:4" ht="23.25" customHeight="1" x14ac:dyDescent="0.35">
      <c r="A52" s="609" t="s">
        <v>440</v>
      </c>
      <c r="B52" s="609"/>
      <c r="C52" s="609"/>
      <c r="D52" s="609"/>
    </row>
    <row r="53" spans="1:4" ht="23.25" customHeight="1" x14ac:dyDescent="0.35">
      <c r="A53" s="609" t="s">
        <v>441</v>
      </c>
      <c r="B53" s="609"/>
      <c r="C53" s="609"/>
      <c r="D53" s="609"/>
    </row>
    <row r="54" spans="1:4" ht="27" x14ac:dyDescent="0.35">
      <c r="A54" s="609" t="s">
        <v>442</v>
      </c>
      <c r="B54" s="609"/>
      <c r="C54" s="609"/>
      <c r="D54" s="609"/>
    </row>
    <row r="55" spans="1:4" ht="23.25" customHeight="1" x14ac:dyDescent="0.35">
      <c r="A55" s="609" t="s">
        <v>443</v>
      </c>
      <c r="B55" s="609"/>
      <c r="C55" s="609"/>
      <c r="D55" s="609"/>
    </row>
    <row r="56" spans="1:4" ht="27" x14ac:dyDescent="0.35">
      <c r="A56" s="609" t="s">
        <v>444</v>
      </c>
      <c r="B56" s="609"/>
      <c r="C56" s="609"/>
      <c r="D56" s="609"/>
    </row>
    <row r="57" spans="1:4" ht="35.25" customHeight="1" x14ac:dyDescent="0.35">
      <c r="A57" s="519"/>
      <c r="B57" s="519"/>
      <c r="C57" s="520"/>
      <c r="D57" s="520"/>
    </row>
    <row r="58" spans="1:4" ht="27" x14ac:dyDescent="0.35">
      <c r="A58" s="521" t="s">
        <v>413</v>
      </c>
      <c r="B58" s="520"/>
      <c r="C58" s="520"/>
      <c r="D58" s="520"/>
    </row>
    <row r="59" spans="1:4" ht="27" x14ac:dyDescent="0.35">
      <c r="A59" s="521" t="s">
        <v>427</v>
      </c>
      <c r="B59" s="520"/>
      <c r="C59" s="520"/>
      <c r="D59" s="520"/>
    </row>
    <row r="60" spans="1:4" ht="27" x14ac:dyDescent="0.35">
      <c r="A60" s="521" t="s">
        <v>446</v>
      </c>
      <c r="B60" s="520"/>
      <c r="C60" s="520"/>
      <c r="D60" s="520"/>
    </row>
    <row r="61" spans="1:4" ht="27" x14ac:dyDescent="0.35">
      <c r="A61" s="521" t="s">
        <v>447</v>
      </c>
      <c r="B61" s="520"/>
      <c r="C61" s="520"/>
      <c r="D61" s="520"/>
    </row>
    <row r="62" spans="1:4" ht="27" x14ac:dyDescent="0.35">
      <c r="A62" s="521" t="s">
        <v>448</v>
      </c>
      <c r="B62" s="520"/>
      <c r="C62" s="520"/>
      <c r="D62" s="520"/>
    </row>
    <row r="63" spans="1:4" ht="27" x14ac:dyDescent="0.35">
      <c r="A63" s="521" t="s">
        <v>428</v>
      </c>
      <c r="B63" s="520"/>
      <c r="C63" s="520"/>
      <c r="D63" s="520"/>
    </row>
    <row r="64" spans="1:4" ht="27" x14ac:dyDescent="0.35">
      <c r="A64" s="521"/>
      <c r="B64" s="520"/>
      <c r="C64" s="520"/>
      <c r="D64" s="520"/>
    </row>
    <row r="65" spans="1:4" ht="72" customHeight="1" x14ac:dyDescent="0.35">
      <c r="A65" s="606" t="s">
        <v>450</v>
      </c>
      <c r="B65" s="607"/>
      <c r="C65" s="607"/>
      <c r="D65" s="607"/>
    </row>
    <row r="66" spans="1:4" ht="51" customHeight="1" x14ac:dyDescent="0.4">
      <c r="A66" s="522"/>
      <c r="B66" s="523"/>
      <c r="C66" s="523"/>
      <c r="D66" s="523"/>
    </row>
    <row r="67" spans="1:4" ht="75.75" customHeight="1" x14ac:dyDescent="0.35">
      <c r="A67" s="606" t="s">
        <v>449</v>
      </c>
      <c r="B67" s="607"/>
      <c r="C67" s="607"/>
      <c r="D67" s="607"/>
    </row>
    <row r="68" spans="1:4" ht="58.5" customHeight="1" x14ac:dyDescent="0.35">
      <c r="A68" s="515"/>
      <c r="B68" s="515"/>
      <c r="C68" s="515"/>
      <c r="D68" s="515"/>
    </row>
    <row r="69" spans="1:4" ht="58.5" customHeight="1" x14ac:dyDescent="0.35">
      <c r="A69" s="515"/>
      <c r="B69" s="515"/>
      <c r="C69" s="515"/>
      <c r="D69" s="515"/>
    </row>
    <row r="71" spans="1:4" x14ac:dyDescent="0.35">
      <c r="A71" s="608" t="s">
        <v>429</v>
      </c>
      <c r="B71" s="608"/>
    </row>
    <row r="72" spans="1:4" x14ac:dyDescent="0.35">
      <c r="A72" s="512"/>
    </row>
    <row r="73" spans="1:4" x14ac:dyDescent="0.35">
      <c r="A73" s="604" t="s">
        <v>430</v>
      </c>
      <c r="B73" s="604"/>
    </row>
    <row r="74" spans="1:4" x14ac:dyDescent="0.35">
      <c r="A74" s="513" t="s">
        <v>431</v>
      </c>
      <c r="B74" s="508" t="s">
        <v>445</v>
      </c>
    </row>
    <row r="75" spans="1:4" x14ac:dyDescent="0.35">
      <c r="A75" s="513" t="s">
        <v>432</v>
      </c>
    </row>
    <row r="76" spans="1:4" x14ac:dyDescent="0.35">
      <c r="A76" s="604" t="s">
        <v>433</v>
      </c>
      <c r="B76" s="604"/>
    </row>
    <row r="77" spans="1:4" x14ac:dyDescent="0.35">
      <c r="A77" s="603" t="s">
        <v>434</v>
      </c>
      <c r="B77" s="603"/>
    </row>
  </sheetData>
  <mergeCells count="25">
    <mergeCell ref="A34:B34"/>
    <mergeCell ref="A31:B31"/>
    <mergeCell ref="A37:B37"/>
    <mergeCell ref="A36:B36"/>
    <mergeCell ref="A65:D65"/>
    <mergeCell ref="A67:D67"/>
    <mergeCell ref="A77:B77"/>
    <mergeCell ref="A38:B38"/>
    <mergeCell ref="A39:B39"/>
    <mergeCell ref="A71:B71"/>
    <mergeCell ref="A73:B73"/>
    <mergeCell ref="A76:B76"/>
    <mergeCell ref="A50:D50"/>
    <mergeCell ref="A51:D51"/>
    <mergeCell ref="A52:D52"/>
    <mergeCell ref="A53:D53"/>
    <mergeCell ref="A54:D54"/>
    <mergeCell ref="A55:D55"/>
    <mergeCell ref="A56:D56"/>
    <mergeCell ref="A1:B1"/>
    <mergeCell ref="A4:B4"/>
    <mergeCell ref="A20:B20"/>
    <mergeCell ref="A27:B27"/>
    <mergeCell ref="A29:B29"/>
    <mergeCell ref="A2:B2"/>
  </mergeCells>
  <phoneticPr fontId="2" type="noConversion"/>
  <hyperlinks>
    <hyperlink ref="A6" r:id="rId1" display="http://www.contraloriagen.gov.co/documents/10136/29244829/Constitucion+Politica+Colombia.pdf/ef5db4bb-a49a-42df-9b97-46de2d338a07"/>
    <hyperlink ref="A7" r:id="rId2" display="http://www.contraloriagen.gov.co/documents/10136/29244829/Ley+42+de+1993.pdf/7f2db300-19d5-4240-b81d-7d1791abb781"/>
    <hyperlink ref="A8" r:id="rId3" display="http://www.contraloriagen.gov.co/documents/10136/29244829/Ley+51+de+1990.pdf/29ca5432-4a5d-4ce5-9e28-f898d46e7385"/>
    <hyperlink ref="A9" r:id="rId4" display="http://www.contraloriagen.gov.co/documents/10136/29244829/Ley+80+de+1993.pdf/9f258564-a426-495f-be20-9c5f8fe179f0"/>
    <hyperlink ref="A10" r:id="rId5" display="http://www.contraloriagen.gov.co/documents/10136/29244829/Ley+185+de+1995.pdf/f4d18798-a05f-450c-bef8-55a5efdd6969"/>
    <hyperlink ref="A11" r:id="rId6" display="http://www.contraloriagen.gov.co/documents/10136/29244829/Ley+358+de+1997.pdf/b09eb949-6534-40da-bfd7-3b1b1ed58ea5"/>
    <hyperlink ref="A12" r:id="rId7" display="http://www.contraloriagen.gov.co/documents/10136/29244829/Ley+533+de+1999.pdf/ed368204-1356-4d8e-9892-7f56d100a3fb"/>
    <hyperlink ref="A13" r:id="rId8" display="http://www.contraloriagen.gov.co/documents/10136/29244829/Ley+5+de+1992.pdf/ce70ba37-55f9-4878-8e30-948dc1cdf1cd"/>
    <hyperlink ref="A14" r:id="rId9" display="http://www.contraloriagen.gov.co/documents/10136/29244829/Decreto+2681+de+1993.pdf/a20c3a41-5440-4377-81a5-9c0742bb5d12"/>
    <hyperlink ref="A15" r:id="rId10" display="http://www.contraloriagen.gov.co/documents/10136/29244829/Resolucion+5289+de+2001.pdf/0329fa1b-ef34-423b-8e92-d9184431fbb2"/>
    <hyperlink ref="A20" r:id="rId11" display="http://www.contraloriagen.gov.co/documents/10136/29244829/Constitucion+Politica+Colombia.pdf/ef5db4bb-a49a-42df-9b97-46de2d338a07"/>
    <hyperlink ref="A21" r:id="rId12" display="http://www.contraloriagen.gov.co/documents/10136/29244829/Ley+42+de+1993.pdf/7f2db300-19d5-4240-b81d-7d1791abb781"/>
    <hyperlink ref="A22" r:id="rId13" display="http://www.contraloriagen.gov.co/web/guest/herramientas/normatividad"/>
    <hyperlink ref="A23" r:id="rId14" display="http://www.contraloriagen.gov.co/web/guest/herramientas/normatividad"/>
    <hyperlink ref="A24" r:id="rId15" display="http://www.contraloriagen.gov.co/web/guest/guia-de-auditoria"/>
    <hyperlink ref="A29" r:id="rId16" display="http://www.secretariasenado.gov.co/leyes/CONS_P91.HTM"/>
    <hyperlink ref="A30" r:id="rId17" display="http://www.contraloriagen.gov.co/web/guest/herramientas/normatividad"/>
    <hyperlink ref="A31" r:id="rId18" display="http://www.contraloriagen.gov.co/web/guest/herramientas/normatividad"/>
    <hyperlink ref="A36" r:id="rId19" display="http://www.secretariasenado.gov.co/leyes/CONS_P91.HTM"/>
    <hyperlink ref="A37" r:id="rId20" display="http://www.contraloriagen.gov.co/web/guest/herramientas/normatividad"/>
    <hyperlink ref="A38" r:id="rId21" display="http://www.contraloriagen.gov.co/web/guest/herramientas/normatividad"/>
    <hyperlink ref="A39" r:id="rId22" display="http://www.contraloriagen.gov.co/web/guest/herramientas/normatividad"/>
    <hyperlink ref="A40" r:id="rId23" display="http://www.contraloriagen.gov.co/web/guest/herramientas/normatividad"/>
    <hyperlink ref="A73" r:id="rId24" display="http://www.contraloriagen.gov.co/web/guest/herramientas/normatividad"/>
    <hyperlink ref="A74" r:id="rId25" display="http://www.contraloriagen.gov.co/web/guest/herramientas/normatividad"/>
    <hyperlink ref="A75" r:id="rId26" display="http://www.dafp.gov.co/leyes/D0735001.HTM"/>
    <hyperlink ref="A76" r:id="rId27" display="http://www.contraloriagen.gov.co/web/guest/herramientas/normatividad"/>
  </hyperlinks>
  <pageMargins left="0.75" right="0.75" top="1" bottom="1" header="0" footer="0"/>
  <pageSetup orientation="portrait" horizontalDpi="4294967295" verticalDpi="4294967295" r:id="rId28"/>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10" zoomScaleNormal="110" workbookViewId="0">
      <selection activeCell="A6" sqref="A6"/>
    </sheetView>
  </sheetViews>
  <sheetFormatPr baseColWidth="10" defaultRowHeight="15" x14ac:dyDescent="0.2"/>
  <cols>
    <col min="5" max="5" width="68.5546875" bestFit="1" customWidth="1"/>
  </cols>
  <sheetData>
    <row r="1" spans="1:10" ht="298.5" customHeight="1" x14ac:dyDescent="0.2">
      <c r="E1" s="526" t="s">
        <v>457</v>
      </c>
    </row>
    <row r="2" spans="1:10" ht="218.25" x14ac:dyDescent="0.2">
      <c r="E2" s="526" t="s">
        <v>458</v>
      </c>
    </row>
    <row r="3" spans="1:10" ht="159" customHeight="1" x14ac:dyDescent="0.2"/>
    <row r="4" spans="1:10" ht="241.5" customHeight="1" x14ac:dyDescent="0.2">
      <c r="A4" s="610" t="s">
        <v>459</v>
      </c>
      <c r="B4" s="610"/>
      <c r="C4" s="610"/>
      <c r="D4" s="610"/>
      <c r="E4" s="610"/>
      <c r="F4" s="610"/>
      <c r="G4" s="610"/>
      <c r="H4" s="610"/>
      <c r="I4" s="610"/>
      <c r="J4" s="610"/>
    </row>
    <row r="5" spans="1:10" ht="222.75" customHeight="1" x14ac:dyDescent="0.2">
      <c r="A5" s="610" t="s">
        <v>460</v>
      </c>
      <c r="B5" s="610"/>
      <c r="C5" s="610"/>
      <c r="D5" s="610"/>
      <c r="E5" s="610"/>
      <c r="F5" s="610"/>
      <c r="G5" s="610"/>
      <c r="H5" s="610"/>
      <c r="I5" s="610"/>
      <c r="J5" s="610"/>
    </row>
  </sheetData>
  <mergeCells count="2">
    <mergeCell ref="A4:J4"/>
    <mergeCell ref="A5:J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inversion</vt:lpstr>
      <vt:lpstr>ejes</vt:lpstr>
      <vt:lpstr>plan des</vt:lpstr>
      <vt:lpstr>anexo1</vt:lpstr>
      <vt:lpstr>anexo2</vt:lpstr>
      <vt:lpstr>tips</vt:lpstr>
      <vt:lpstr>Hoja3</vt:lpstr>
      <vt:lpstr>normas</vt:lpstr>
      <vt:lpstr>Hoja1</vt:lpstr>
      <vt:lpstr>anexo1!Títulos_a_imprimir</vt:lpstr>
      <vt:lpstr>ejes!Títulos_a_imprimir</vt:lpstr>
      <vt:lpstr>inversion!Títulos_a_imprimir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rgonzalez</dc:creator>
  <cp:lastModifiedBy>RUBEN ANTONIO GONZALEZ GAMBA</cp:lastModifiedBy>
  <cp:lastPrinted>2015-03-20T14:45:28Z</cp:lastPrinted>
  <dcterms:created xsi:type="dcterms:W3CDTF">2011-11-02T20:23:05Z</dcterms:created>
  <dcterms:modified xsi:type="dcterms:W3CDTF">2015-04-20T16:03:10Z</dcterms:modified>
</cp:coreProperties>
</file>